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cer\Desktop\JaJa\FN312\"/>
    </mc:Choice>
  </mc:AlternateContent>
  <xr:revisionPtr revIDLastSave="0" documentId="13_ncr:1_{2C206401-C390-434F-B75B-A54344000A9D}" xr6:coauthVersionLast="45" xr6:coauthVersionMax="45" xr10:uidLastSave="{00000000-0000-0000-0000-000000000000}"/>
  <bookViews>
    <workbookView xWindow="-110" yWindow="-110" windowWidth="19420" windowHeight="10420" firstSheet="21" activeTab="27" xr2:uid="{00000000-000D-0000-FFFF-FFFF00000000}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AMD" sheetId="25" r:id="rId16"/>
    <sheet name="CVX" sheetId="26" r:id="rId17"/>
    <sheet name="QCOM" sheetId="28" r:id="rId18"/>
    <sheet name="F" sheetId="29" r:id="rId19"/>
    <sheet name="LTHM" sheetId="31" r:id="rId20"/>
    <sheet name="RCL" sheetId="32" r:id="rId21"/>
    <sheet name="OIL" sheetId="33" r:id="rId22"/>
    <sheet name="VIXY" sheetId="34" r:id="rId23"/>
    <sheet name="LLNW" sheetId="35" r:id="rId24"/>
    <sheet name="PLL" sheetId="36" r:id="rId25"/>
    <sheet name="APHA" sheetId="37" r:id="rId26"/>
    <sheet name="BEP" sheetId="38" r:id="rId27"/>
    <sheet name="Dashboard" sheetId="15" r:id="rId28"/>
    <sheet name="Dashboard_backend" sheetId="16" r:id="rId29"/>
    <sheet name="Format Control" sheetId="22" r:id="rId30"/>
    <sheet name="New Stock" sheetId="23" r:id="rId31"/>
  </sheets>
  <definedNames>
    <definedName name="Adj_Close_HD" localSheetId="15">tbl_HD[Adj Close]</definedName>
    <definedName name="Adj_Close_HD" localSheetId="25">tbl_HD[Adj Close]</definedName>
    <definedName name="Adj_Close_HD" localSheetId="26">tbl_HD[Adj Close]</definedName>
    <definedName name="Adj_Close_HD" localSheetId="16">tbl_HD[Adj Close]</definedName>
    <definedName name="Adj_Close_HD" localSheetId="18">tbl_HD[Adj Close]</definedName>
    <definedName name="Adj_Close_HD" localSheetId="23">tbl_HD[Adj Close]</definedName>
    <definedName name="Adj_Close_HD" localSheetId="19">tbl_HD[Adj Close]</definedName>
    <definedName name="Adj_Close_HD" localSheetId="21">tbl_HD[Adj Close]</definedName>
    <definedName name="Adj_Close_HD" localSheetId="24">tbl_HD[Adj Close]</definedName>
    <definedName name="Adj_Close_HD" localSheetId="17">tbl_HD[Adj Close]</definedName>
    <definedName name="Adj_Close_HD" localSheetId="20">tbl_HD[Adj Close]</definedName>
    <definedName name="Adj_Close_HD" localSheetId="22">tbl_HD[Adj Close]</definedName>
    <definedName name="Adj_Close_HD">tbl_HD[Adj Close]</definedName>
    <definedName name="BB_Periods">Lookup!$I$5</definedName>
    <definedName name="BB_Width">Lookup!$I$6</definedName>
    <definedName name="Date_List" localSheetId="15">tbl_HD[Date]</definedName>
    <definedName name="Date_List" localSheetId="25">tbl_HD[Date]</definedName>
    <definedName name="Date_List" localSheetId="26">tbl_HD[Date]</definedName>
    <definedName name="Date_List" localSheetId="16">tbl_HD[Date]</definedName>
    <definedName name="Date_List" localSheetId="18">tbl_HD[Date]</definedName>
    <definedName name="Date_List" localSheetId="23">tbl_HD[Date]</definedName>
    <definedName name="Date_List" localSheetId="19">tbl_HD[Date]</definedName>
    <definedName name="Date_List" localSheetId="21">tbl_HD[Date]</definedName>
    <definedName name="Date_List" localSheetId="24">tbl_HD[Date]</definedName>
    <definedName name="Date_List" localSheetId="17">tbl_HD[Date]</definedName>
    <definedName name="Date_List" localSheetId="20">tbl_HD[Date]</definedName>
    <definedName name="Date_List" localSheetId="22">tbl_HD[Date]</definedName>
    <definedName name="Date_List">tbl_HD[Date]</definedName>
    <definedName name="EMA_Beta">Lookup!$I$3</definedName>
    <definedName name="Metrics">Lookup!$E$4:$E$6</definedName>
    <definedName name="pos_header" localSheetId="15">tbl_position[#Headers]</definedName>
    <definedName name="pos_header" localSheetId="25">tbl_position[#Headers]</definedName>
    <definedName name="pos_header" localSheetId="26">tbl_position[#Headers]</definedName>
    <definedName name="pos_header" localSheetId="16">tbl_position[#Headers]</definedName>
    <definedName name="pos_header" localSheetId="18">tbl_position[#Headers]</definedName>
    <definedName name="pos_header" localSheetId="23">tbl_position[#Headers]</definedName>
    <definedName name="pos_header" localSheetId="19">tbl_position[#Headers]</definedName>
    <definedName name="pos_header" localSheetId="21">tbl_position[#Headers]</definedName>
    <definedName name="pos_header" localSheetId="24">tbl_position[#Headers]</definedName>
    <definedName name="pos_header" localSheetId="17">tbl_position[#Headers]</definedName>
    <definedName name="pos_header" localSheetId="20">tbl_position[#Headers]</definedName>
    <definedName name="pos_header" localSheetId="22">tbl_position[#Headers]</definedName>
    <definedName name="pos_header">tbl_position[#Headers]</definedName>
    <definedName name="Price_AAPL" localSheetId="15">tbl_AAPL[Adj Close]</definedName>
    <definedName name="Price_AAPL" localSheetId="25">tbl_AAPL[Adj Close]</definedName>
    <definedName name="Price_AAPL" localSheetId="26">tbl_AAPL[Adj Close]</definedName>
    <definedName name="Price_AAPL" localSheetId="16">tbl_AAPL[Adj Close]</definedName>
    <definedName name="Price_AAPL" localSheetId="18">tbl_AAPL[Adj Close]</definedName>
    <definedName name="Price_AAPL" localSheetId="23">tbl_AAPL[Adj Close]</definedName>
    <definedName name="Price_AAPL" localSheetId="19">tbl_AAPL[Adj Close]</definedName>
    <definedName name="Price_AAPL" localSheetId="21">tbl_AAPL[Adj Close]</definedName>
    <definedName name="Price_AAPL" localSheetId="24">tbl_AAPL[Adj Close]</definedName>
    <definedName name="Price_AAPL" localSheetId="17">tbl_AAPL[Adj Close]</definedName>
    <definedName name="Price_AAPL" localSheetId="20">tbl_AAPL[Adj Close]</definedName>
    <definedName name="Price_AAPL" localSheetId="22">tbl_AAPL[Adj Close]</definedName>
    <definedName name="Price_AAPL">tbl_AAPL[Adj Close]</definedName>
    <definedName name="Price_HD" localSheetId="15">tbl_HD[Adj Close]</definedName>
    <definedName name="Price_HD" localSheetId="25">tbl_HD[Adj Close]</definedName>
    <definedName name="Price_HD" localSheetId="26">tbl_HD[Adj Close]</definedName>
    <definedName name="Price_HD" localSheetId="16">tbl_HD[Adj Close]</definedName>
    <definedName name="Price_HD" localSheetId="18">tbl_HD[Adj Close]</definedName>
    <definedName name="Price_HD" localSheetId="23">tbl_HD[Adj Close]</definedName>
    <definedName name="Price_HD" localSheetId="19">tbl_HD[Adj Close]</definedName>
    <definedName name="Price_HD" localSheetId="21">tbl_HD[Adj Close]</definedName>
    <definedName name="Price_HD" localSheetId="24">tbl_HD[Adj Close]</definedName>
    <definedName name="Price_HD" localSheetId="17">tbl_HD[Adj Close]</definedName>
    <definedName name="Price_HD" localSheetId="20">tbl_HD[Adj Close]</definedName>
    <definedName name="Price_HD" localSheetId="22">tbl_HD[Adj Close]</definedName>
    <definedName name="Price_HD">tbl_HD[Adj Close]</definedName>
    <definedName name="Price_Header" localSheetId="15">tbl_HD[#Headers]</definedName>
    <definedName name="Price_Header" localSheetId="25">tbl_HD[#Headers]</definedName>
    <definedName name="Price_Header" localSheetId="26">tbl_HD[#Headers]</definedName>
    <definedName name="Price_Header" localSheetId="16">tbl_HD[#Headers]</definedName>
    <definedName name="Price_Header" localSheetId="18">tbl_HD[#Headers]</definedName>
    <definedName name="Price_Header" localSheetId="23">tbl_HD[#Headers]</definedName>
    <definedName name="Price_Header" localSheetId="19">tbl_HD[#Headers]</definedName>
    <definedName name="Price_Header" localSheetId="21">tbl_HD[#Headers]</definedName>
    <definedName name="Price_Header" localSheetId="24">tbl_HD[#Headers]</definedName>
    <definedName name="Price_Header" localSheetId="17">tbl_HD[#Headers]</definedName>
    <definedName name="Price_Header" localSheetId="20">tbl_HD[#Headers]</definedName>
    <definedName name="Price_Header" localSheetId="22">tbl_HD[#Headers]</definedName>
    <definedName name="Price_Header">tbl_HD[#Headers]</definedName>
    <definedName name="RSI_Periods">Lookup!$I$4</definedName>
    <definedName name="Symbol" localSheetId="15">tbl_symbol[Symbol]</definedName>
    <definedName name="Symbol" localSheetId="25">tbl_symbol[Symbol]</definedName>
    <definedName name="Symbol" localSheetId="26">tbl_symbol[Symbol]</definedName>
    <definedName name="Symbol" localSheetId="16">tbl_symbol[Symbol]</definedName>
    <definedName name="Symbol" localSheetId="18">tbl_symbol[Symbol]</definedName>
    <definedName name="Symbol" localSheetId="23">tbl_symbol[Symbol]</definedName>
    <definedName name="Symbol" localSheetId="19">tbl_symbol[Symbol]</definedName>
    <definedName name="Symbol" localSheetId="21">tbl_symbol[Symbol]</definedName>
    <definedName name="Symbol" localSheetId="24">tbl_symbol[Symbol]</definedName>
    <definedName name="Symbol" localSheetId="17">tbl_symbol[Symbol]</definedName>
    <definedName name="Symbol" localSheetId="20">tbl_symbol[Symbol]</definedName>
    <definedName name="Symbol" localSheetId="22">tbl_symbol[Symbol]</definedName>
    <definedName name="Symbol">tbl_symbol[Symbol]</definedName>
    <definedName name="Test" localSheetId="15">IF(#REF!="HD", AMD!Price_HD, AMD!Price_AAPL)</definedName>
    <definedName name="Test" localSheetId="25">IF(#REF!="HD", APHA!Price_HD, APHA!Price_AAPL)</definedName>
    <definedName name="Test" localSheetId="26">IF(#REF!="HD", BEP!Price_HD, BEP!Price_AAPL)</definedName>
    <definedName name="Test" localSheetId="16">IF(#REF!="HD", CVX!Price_HD, CVX!Price_AAPL)</definedName>
    <definedName name="Test" localSheetId="18">IF(#REF!="HD", F!Price_HD, F!Price_AAPL)</definedName>
    <definedName name="Test" localSheetId="23">IF(#REF!="HD", LLNW!Price_HD, LLNW!Price_AAPL)</definedName>
    <definedName name="Test" localSheetId="19">IF(#REF!="HD", LTHM!Price_HD, LTHM!Price_AAPL)</definedName>
    <definedName name="Test" localSheetId="21">IF(#REF!="HD", OIL!Price_HD, OIL!Price_AAPL)</definedName>
    <definedName name="Test" localSheetId="24">IF(#REF!="HD", PLL!Price_HD, PLL!Price_AAPL)</definedName>
    <definedName name="Test" localSheetId="17">IF(#REF!="HD", QCOM!Price_HD, QCOM!Price_AAPL)</definedName>
    <definedName name="Test" localSheetId="20">IF(#REF!="HD", RCL!Price_HD, RCL!Price_AAPL)</definedName>
    <definedName name="Test" localSheetId="22">IF(#REF!="HD", VIXY!Price_HD, VIXY!Price_AAPL)</definedName>
    <definedName name="Test">IF(#REF!="HD", Price_HD, Price_AAPL)</definedName>
    <definedName name="Total_filtered">#REF!</definedName>
    <definedName name="Transactions">Lookup!$C$4:$C$7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6" l="1"/>
  <c r="L13" i="16"/>
  <c r="M13" i="16"/>
  <c r="N13" i="16"/>
  <c r="O13" i="16"/>
  <c r="P13" i="16"/>
  <c r="G3" i="15"/>
  <c r="H100" i="2"/>
  <c r="I100" i="2"/>
  <c r="J100" i="2"/>
  <c r="K100" i="2"/>
  <c r="L100" i="2"/>
  <c r="M100" i="2"/>
  <c r="N100" i="2"/>
  <c r="O100" i="2"/>
  <c r="P100" i="2"/>
  <c r="Q100" i="2"/>
  <c r="R100" i="2"/>
  <c r="S100" i="2"/>
  <c r="C26" i="16"/>
  <c r="AS5" i="4"/>
  <c r="W46" i="4"/>
  <c r="W47" i="4"/>
  <c r="W48" i="4"/>
  <c r="W49" i="4"/>
  <c r="W50" i="4"/>
  <c r="W51" i="4"/>
  <c r="V51" i="4"/>
  <c r="V46" i="4"/>
  <c r="M73" i="38"/>
  <c r="M72" i="38"/>
  <c r="M71" i="38"/>
  <c r="M70" i="38"/>
  <c r="M69" i="38"/>
  <c r="M68" i="38"/>
  <c r="M67" i="38"/>
  <c r="M66" i="38"/>
  <c r="M65" i="38"/>
  <c r="M64" i="38"/>
  <c r="M63" i="38"/>
  <c r="M62" i="38"/>
  <c r="M61" i="38"/>
  <c r="M60" i="38"/>
  <c r="M59" i="38"/>
  <c r="M58" i="38"/>
  <c r="M57" i="38"/>
  <c r="M56" i="38"/>
  <c r="M55" i="38"/>
  <c r="M54" i="38"/>
  <c r="M53" i="38"/>
  <c r="M52" i="38"/>
  <c r="M51" i="38"/>
  <c r="M50" i="38"/>
  <c r="M49" i="38"/>
  <c r="M48" i="38"/>
  <c r="O48" i="38" s="1"/>
  <c r="M47" i="38"/>
  <c r="M46" i="38"/>
  <c r="O46" i="38" s="1"/>
  <c r="M45" i="38"/>
  <c r="O45" i="38" s="1"/>
  <c r="M44" i="38"/>
  <c r="O44" i="38" s="1"/>
  <c r="M43" i="38"/>
  <c r="M42" i="38"/>
  <c r="O42" i="38" s="1"/>
  <c r="M41" i="38"/>
  <c r="M40" i="38"/>
  <c r="M39" i="38"/>
  <c r="M38" i="38"/>
  <c r="M37" i="38"/>
  <c r="N37" i="38" s="1"/>
  <c r="M36" i="38"/>
  <c r="N36" i="38" s="1"/>
  <c r="M35" i="38"/>
  <c r="N35" i="38" s="1"/>
  <c r="M34" i="38"/>
  <c r="N34" i="38" s="1"/>
  <c r="M33" i="38"/>
  <c r="N33" i="38" s="1"/>
  <c r="M32" i="38"/>
  <c r="N32" i="38" s="1"/>
  <c r="M31" i="38"/>
  <c r="N31" i="38" s="1"/>
  <c r="M30" i="38"/>
  <c r="N30" i="38" s="1"/>
  <c r="M29" i="38"/>
  <c r="N29" i="38" s="1"/>
  <c r="M28" i="38"/>
  <c r="N28" i="38" s="1"/>
  <c r="M27" i="38"/>
  <c r="N27" i="38" s="1"/>
  <c r="M26" i="38"/>
  <c r="N26" i="38" s="1"/>
  <c r="M25" i="38"/>
  <c r="N25" i="38" s="1"/>
  <c r="M24" i="38"/>
  <c r="N24" i="38" s="1"/>
  <c r="M23" i="38"/>
  <c r="N23" i="38" s="1"/>
  <c r="M22" i="38"/>
  <c r="N22" i="38" s="1"/>
  <c r="M21" i="38"/>
  <c r="N21" i="38" s="1"/>
  <c r="M20" i="38"/>
  <c r="N20" i="38" s="1"/>
  <c r="M19" i="38"/>
  <c r="N19" i="38" s="1"/>
  <c r="Q18" i="38"/>
  <c r="P18" i="38"/>
  <c r="R18" i="38" s="1"/>
  <c r="I18" i="38" s="1"/>
  <c r="M18" i="38"/>
  <c r="N18" i="38" s="1"/>
  <c r="S17" i="38"/>
  <c r="Q17" i="38"/>
  <c r="P17" i="38"/>
  <c r="R17" i="38" s="1"/>
  <c r="I17" i="38" s="1"/>
  <c r="M17" i="38"/>
  <c r="N17" i="38" s="1"/>
  <c r="J17" i="38"/>
  <c r="L17" i="38" s="1"/>
  <c r="S16" i="38"/>
  <c r="Q16" i="38"/>
  <c r="P16" i="38"/>
  <c r="R16" i="38" s="1"/>
  <c r="I16" i="38" s="1"/>
  <c r="M16" i="38"/>
  <c r="N16" i="38" s="1"/>
  <c r="J16" i="38"/>
  <c r="L16" i="38" s="1"/>
  <c r="S15" i="38"/>
  <c r="Q15" i="38"/>
  <c r="P15" i="38"/>
  <c r="R15" i="38" s="1"/>
  <c r="I15" i="38" s="1"/>
  <c r="M15" i="38"/>
  <c r="N15" i="38" s="1"/>
  <c r="J15" i="38"/>
  <c r="L15" i="38" s="1"/>
  <c r="S14" i="38"/>
  <c r="Q14" i="38"/>
  <c r="P14" i="38"/>
  <c r="R14" i="38" s="1"/>
  <c r="I14" i="38" s="1"/>
  <c r="M14" i="38"/>
  <c r="N14" i="38" s="1"/>
  <c r="J14" i="38"/>
  <c r="L14" i="38" s="1"/>
  <c r="S13" i="38"/>
  <c r="Q13" i="38"/>
  <c r="P13" i="38"/>
  <c r="R13" i="38" s="1"/>
  <c r="I13" i="38" s="1"/>
  <c r="M13" i="38"/>
  <c r="N13" i="38" s="1"/>
  <c r="J13" i="38"/>
  <c r="L13" i="38" s="1"/>
  <c r="S12" i="38"/>
  <c r="Q12" i="38"/>
  <c r="P12" i="38"/>
  <c r="R12" i="38" s="1"/>
  <c r="I12" i="38" s="1"/>
  <c r="M12" i="38"/>
  <c r="N12" i="38" s="1"/>
  <c r="J12" i="38"/>
  <c r="L12" i="38" s="1"/>
  <c r="S11" i="38"/>
  <c r="Q11" i="38"/>
  <c r="P11" i="38"/>
  <c r="R11" i="38" s="1"/>
  <c r="I11" i="38" s="1"/>
  <c r="M11" i="38"/>
  <c r="N11" i="38" s="1"/>
  <c r="J11" i="38"/>
  <c r="L11" i="38" s="1"/>
  <c r="S10" i="38"/>
  <c r="Q10" i="38"/>
  <c r="P10" i="38"/>
  <c r="R10" i="38" s="1"/>
  <c r="I10" i="38" s="1"/>
  <c r="M10" i="38"/>
  <c r="N10" i="38" s="1"/>
  <c r="J10" i="38"/>
  <c r="L10" i="38" s="1"/>
  <c r="S9" i="38"/>
  <c r="Q9" i="38"/>
  <c r="P9" i="38"/>
  <c r="R9" i="38" s="1"/>
  <c r="I9" i="38" s="1"/>
  <c r="M9" i="38"/>
  <c r="N9" i="38" s="1"/>
  <c r="J9" i="38"/>
  <c r="L9" i="38" s="1"/>
  <c r="S8" i="38"/>
  <c r="Q8" i="38"/>
  <c r="P8" i="38"/>
  <c r="R8" i="38" s="1"/>
  <c r="I8" i="38" s="1"/>
  <c r="M8" i="38"/>
  <c r="N8" i="38" s="1"/>
  <c r="J8" i="38"/>
  <c r="L8" i="38" s="1"/>
  <c r="S7" i="38"/>
  <c r="Q7" i="38"/>
  <c r="P7" i="38"/>
  <c r="R7" i="38" s="1"/>
  <c r="I7" i="38" s="1"/>
  <c r="M7" i="38"/>
  <c r="N7" i="38" s="1"/>
  <c r="J7" i="38"/>
  <c r="L7" i="38" s="1"/>
  <c r="S6" i="38"/>
  <c r="Q6" i="38"/>
  <c r="P6" i="38"/>
  <c r="R6" i="38" s="1"/>
  <c r="I6" i="38" s="1"/>
  <c r="M6" i="38"/>
  <c r="N6" i="38" s="1"/>
  <c r="J6" i="38"/>
  <c r="L6" i="38" s="1"/>
  <c r="S5" i="38"/>
  <c r="Q5" i="38"/>
  <c r="P5" i="38"/>
  <c r="R5" i="38" s="1"/>
  <c r="I5" i="38" s="1"/>
  <c r="M5" i="38"/>
  <c r="N5" i="38" s="1"/>
  <c r="J5" i="38"/>
  <c r="L5" i="38" s="1"/>
  <c r="H5" i="38"/>
  <c r="H6" i="38" s="1"/>
  <c r="H7" i="38" s="1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H62" i="38" s="1"/>
  <c r="H63" i="38" s="1"/>
  <c r="H64" i="38" s="1"/>
  <c r="H65" i="38" s="1"/>
  <c r="H66" i="38" s="1"/>
  <c r="H67" i="38" s="1"/>
  <c r="H68" i="38" s="1"/>
  <c r="H69" i="38" s="1"/>
  <c r="H70" i="38" s="1"/>
  <c r="H71" i="38" s="1"/>
  <c r="H72" i="38" s="1"/>
  <c r="H73" i="38" s="1"/>
  <c r="H99" i="2"/>
  <c r="N99" i="2" s="1"/>
  <c r="I99" i="2"/>
  <c r="J99" i="2"/>
  <c r="K99" i="2"/>
  <c r="L99" i="2"/>
  <c r="M99" i="2"/>
  <c r="P99" i="2"/>
  <c r="Q99" i="2"/>
  <c r="R99" i="2"/>
  <c r="S99" i="2"/>
  <c r="C25" i="16"/>
  <c r="V47" i="4"/>
  <c r="V48" i="4"/>
  <c r="V49" i="4"/>
  <c r="V50" i="4"/>
  <c r="M73" i="37"/>
  <c r="O73" i="37" s="1"/>
  <c r="M72" i="37"/>
  <c r="O72" i="37" s="1"/>
  <c r="M71" i="37"/>
  <c r="O71" i="37" s="1"/>
  <c r="M70" i="37"/>
  <c r="O70" i="37" s="1"/>
  <c r="M69" i="37"/>
  <c r="O69" i="37" s="1"/>
  <c r="M68" i="37"/>
  <c r="O68" i="37" s="1"/>
  <c r="M67" i="37"/>
  <c r="O67" i="37" s="1"/>
  <c r="M66" i="37"/>
  <c r="O66" i="37" s="1"/>
  <c r="M65" i="37"/>
  <c r="O65" i="37" s="1"/>
  <c r="M64" i="37"/>
  <c r="O64" i="37" s="1"/>
  <c r="M63" i="37"/>
  <c r="O63" i="37" s="1"/>
  <c r="M62" i="37"/>
  <c r="O62" i="37" s="1"/>
  <c r="M61" i="37"/>
  <c r="O61" i="37" s="1"/>
  <c r="M60" i="37"/>
  <c r="O60" i="37" s="1"/>
  <c r="M59" i="37"/>
  <c r="O59" i="37" s="1"/>
  <c r="M58" i="37"/>
  <c r="M57" i="37"/>
  <c r="O57" i="37" s="1"/>
  <c r="M56" i="37"/>
  <c r="M55" i="37"/>
  <c r="O55" i="37" s="1"/>
  <c r="M54" i="37"/>
  <c r="M53" i="37"/>
  <c r="O53" i="37" s="1"/>
  <c r="M52" i="37"/>
  <c r="M51" i="37"/>
  <c r="O51" i="37" s="1"/>
  <c r="M50" i="37"/>
  <c r="M49" i="37"/>
  <c r="O49" i="37" s="1"/>
  <c r="M48" i="37"/>
  <c r="M47" i="37"/>
  <c r="O47" i="37" s="1"/>
  <c r="M46" i="37"/>
  <c r="M45" i="37"/>
  <c r="O45" i="37" s="1"/>
  <c r="M44" i="37"/>
  <c r="O44" i="37" s="1"/>
  <c r="M43" i="37"/>
  <c r="O43" i="37" s="1"/>
  <c r="M42" i="37"/>
  <c r="O42" i="37" s="1"/>
  <c r="M41" i="37"/>
  <c r="N41" i="37" s="1"/>
  <c r="M40" i="37"/>
  <c r="O40" i="37" s="1"/>
  <c r="M39" i="37"/>
  <c r="N39" i="37" s="1"/>
  <c r="M38" i="37"/>
  <c r="O38" i="37" s="1"/>
  <c r="M37" i="37"/>
  <c r="N37" i="37" s="1"/>
  <c r="M36" i="37"/>
  <c r="O36" i="37" s="1"/>
  <c r="M35" i="37"/>
  <c r="O35" i="37" s="1"/>
  <c r="M34" i="37"/>
  <c r="O34" i="37" s="1"/>
  <c r="M33" i="37"/>
  <c r="N33" i="37" s="1"/>
  <c r="M32" i="37"/>
  <c r="O32" i="37" s="1"/>
  <c r="M31" i="37"/>
  <c r="O31" i="37" s="1"/>
  <c r="M30" i="37"/>
  <c r="N30" i="37" s="1"/>
  <c r="M29" i="37"/>
  <c r="N29" i="37" s="1"/>
  <c r="M28" i="37"/>
  <c r="O28" i="37" s="1"/>
  <c r="M27" i="37"/>
  <c r="N27" i="37" s="1"/>
  <c r="M26" i="37"/>
  <c r="O26" i="37" s="1"/>
  <c r="M25" i="37"/>
  <c r="O25" i="37" s="1"/>
  <c r="M24" i="37"/>
  <c r="O24" i="37" s="1"/>
  <c r="M23" i="37"/>
  <c r="N23" i="37" s="1"/>
  <c r="M22" i="37"/>
  <c r="O22" i="37" s="1"/>
  <c r="M21" i="37"/>
  <c r="O21" i="37" s="1"/>
  <c r="M20" i="37"/>
  <c r="O20" i="37" s="1"/>
  <c r="M19" i="37"/>
  <c r="N19" i="37" s="1"/>
  <c r="Q18" i="37"/>
  <c r="P18" i="37"/>
  <c r="R18" i="37" s="1"/>
  <c r="I18" i="37" s="1"/>
  <c r="M18" i="37"/>
  <c r="O18" i="37" s="1"/>
  <c r="S17" i="37"/>
  <c r="Q17" i="37"/>
  <c r="P17" i="37"/>
  <c r="R17" i="37" s="1"/>
  <c r="I17" i="37" s="1"/>
  <c r="M17" i="37"/>
  <c r="N17" i="37" s="1"/>
  <c r="J17" i="37"/>
  <c r="K17" i="37" s="1"/>
  <c r="S16" i="37"/>
  <c r="Q16" i="37"/>
  <c r="P16" i="37"/>
  <c r="R16" i="37" s="1"/>
  <c r="I16" i="37" s="1"/>
  <c r="M16" i="37"/>
  <c r="O16" i="37" s="1"/>
  <c r="J16" i="37"/>
  <c r="K16" i="37" s="1"/>
  <c r="S15" i="37"/>
  <c r="Q15" i="37"/>
  <c r="P15" i="37"/>
  <c r="R15" i="37" s="1"/>
  <c r="I15" i="37" s="1"/>
  <c r="M15" i="37"/>
  <c r="N15" i="37" s="1"/>
  <c r="J15" i="37"/>
  <c r="K15" i="37" s="1"/>
  <c r="S14" i="37"/>
  <c r="Q14" i="37"/>
  <c r="P14" i="37"/>
  <c r="R14" i="37" s="1"/>
  <c r="I14" i="37" s="1"/>
  <c r="M14" i="37"/>
  <c r="N14" i="37" s="1"/>
  <c r="J14" i="37"/>
  <c r="K14" i="37" s="1"/>
  <c r="S13" i="37"/>
  <c r="Q13" i="37"/>
  <c r="P13" i="37"/>
  <c r="R13" i="37" s="1"/>
  <c r="I13" i="37" s="1"/>
  <c r="M13" i="37"/>
  <c r="O13" i="37" s="1"/>
  <c r="J13" i="37"/>
  <c r="K13" i="37" s="1"/>
  <c r="S12" i="37"/>
  <c r="Q12" i="37"/>
  <c r="P12" i="37"/>
  <c r="R12" i="37" s="1"/>
  <c r="I12" i="37" s="1"/>
  <c r="M12" i="37"/>
  <c r="O12" i="37" s="1"/>
  <c r="J12" i="37"/>
  <c r="K12" i="37" s="1"/>
  <c r="S11" i="37"/>
  <c r="Q11" i="37"/>
  <c r="P11" i="37"/>
  <c r="R11" i="37" s="1"/>
  <c r="I11" i="37" s="1"/>
  <c r="M11" i="37"/>
  <c r="N11" i="37" s="1"/>
  <c r="J11" i="37"/>
  <c r="K11" i="37" s="1"/>
  <c r="S10" i="37"/>
  <c r="Q10" i="37"/>
  <c r="P10" i="37"/>
  <c r="R10" i="37" s="1"/>
  <c r="I10" i="37" s="1"/>
  <c r="M10" i="37"/>
  <c r="N10" i="37" s="1"/>
  <c r="J10" i="37"/>
  <c r="K10" i="37" s="1"/>
  <c r="S9" i="37"/>
  <c r="Q9" i="37"/>
  <c r="P9" i="37"/>
  <c r="R9" i="37" s="1"/>
  <c r="I9" i="37" s="1"/>
  <c r="M9" i="37"/>
  <c r="O9" i="37" s="1"/>
  <c r="J9" i="37"/>
  <c r="K9" i="37" s="1"/>
  <c r="S8" i="37"/>
  <c r="Q8" i="37"/>
  <c r="P8" i="37"/>
  <c r="R8" i="37" s="1"/>
  <c r="I8" i="37" s="1"/>
  <c r="M8" i="37"/>
  <c r="O8" i="37" s="1"/>
  <c r="J8" i="37"/>
  <c r="K8" i="37" s="1"/>
  <c r="S7" i="37"/>
  <c r="Q7" i="37"/>
  <c r="P7" i="37"/>
  <c r="R7" i="37" s="1"/>
  <c r="I7" i="37" s="1"/>
  <c r="M7" i="37"/>
  <c r="N7" i="37" s="1"/>
  <c r="J7" i="37"/>
  <c r="K7" i="37" s="1"/>
  <c r="S6" i="37"/>
  <c r="Q6" i="37"/>
  <c r="P6" i="37"/>
  <c r="R6" i="37" s="1"/>
  <c r="I6" i="37" s="1"/>
  <c r="O6" i="37"/>
  <c r="M6" i="37"/>
  <c r="N6" i="37" s="1"/>
  <c r="J6" i="37"/>
  <c r="K6" i="37" s="1"/>
  <c r="S5" i="37"/>
  <c r="Q5" i="37"/>
  <c r="P5" i="37"/>
  <c r="R5" i="37" s="1"/>
  <c r="I5" i="37" s="1"/>
  <c r="M5" i="37"/>
  <c r="O5" i="37" s="1"/>
  <c r="J5" i="37"/>
  <c r="K5" i="37" s="1"/>
  <c r="H5" i="37"/>
  <c r="H6" i="37" s="1"/>
  <c r="H7" i="37" s="1"/>
  <c r="H8" i="37" s="1"/>
  <c r="H9" i="37" s="1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98" i="2"/>
  <c r="I98" i="2"/>
  <c r="J98" i="2"/>
  <c r="K98" i="2"/>
  <c r="L98" i="2"/>
  <c r="M98" i="2"/>
  <c r="P98" i="2"/>
  <c r="Q98" i="2"/>
  <c r="R98" i="2"/>
  <c r="S98" i="2"/>
  <c r="H97" i="2"/>
  <c r="I97" i="2"/>
  <c r="J97" i="2"/>
  <c r="K97" i="2"/>
  <c r="L97" i="2"/>
  <c r="M97" i="2"/>
  <c r="P97" i="2"/>
  <c r="Q97" i="2"/>
  <c r="R97" i="2"/>
  <c r="S97" i="2"/>
  <c r="H96" i="2"/>
  <c r="I96" i="2"/>
  <c r="J96" i="2"/>
  <c r="K96" i="2"/>
  <c r="L96" i="2"/>
  <c r="M96" i="2"/>
  <c r="P96" i="2"/>
  <c r="Q96" i="2"/>
  <c r="R96" i="2"/>
  <c r="S96" i="2"/>
  <c r="H95" i="2"/>
  <c r="I95" i="2"/>
  <c r="J95" i="2"/>
  <c r="K95" i="2"/>
  <c r="L95" i="2"/>
  <c r="M95" i="2"/>
  <c r="P95" i="2"/>
  <c r="Q95" i="2"/>
  <c r="R95" i="2"/>
  <c r="S95" i="2"/>
  <c r="C24" i="16"/>
  <c r="U44" i="4"/>
  <c r="U45" i="4"/>
  <c r="U46" i="4"/>
  <c r="U47" i="4"/>
  <c r="U48" i="4"/>
  <c r="U49" i="4"/>
  <c r="U50" i="4"/>
  <c r="U51" i="4"/>
  <c r="M73" i="36"/>
  <c r="M72" i="36"/>
  <c r="M71" i="36"/>
  <c r="M70" i="36"/>
  <c r="M69" i="36"/>
  <c r="M68" i="36"/>
  <c r="M67" i="36"/>
  <c r="M66" i="36"/>
  <c r="M65" i="36"/>
  <c r="M64" i="36"/>
  <c r="M63" i="36"/>
  <c r="M62" i="36"/>
  <c r="M61" i="36"/>
  <c r="M60" i="36"/>
  <c r="M59" i="36"/>
  <c r="M58" i="36"/>
  <c r="M57" i="36"/>
  <c r="M56" i="36"/>
  <c r="M55" i="36"/>
  <c r="M54" i="36"/>
  <c r="M53" i="36"/>
  <c r="N53" i="36" s="1"/>
  <c r="M52" i="36"/>
  <c r="N52" i="36" s="1"/>
  <c r="M51" i="36"/>
  <c r="N51" i="36" s="1"/>
  <c r="M50" i="36"/>
  <c r="N50" i="36" s="1"/>
  <c r="M49" i="36"/>
  <c r="N49" i="36" s="1"/>
  <c r="M48" i="36"/>
  <c r="N48" i="36" s="1"/>
  <c r="M47" i="36"/>
  <c r="N47" i="36" s="1"/>
  <c r="M46" i="36"/>
  <c r="N46" i="36" s="1"/>
  <c r="M45" i="36"/>
  <c r="N45" i="36" s="1"/>
  <c r="M44" i="36"/>
  <c r="N44" i="36" s="1"/>
  <c r="M43" i="36"/>
  <c r="M42" i="36"/>
  <c r="N42" i="36" s="1"/>
  <c r="M41" i="36"/>
  <c r="M40" i="36"/>
  <c r="O40" i="36" s="1"/>
  <c r="M39" i="36"/>
  <c r="O39" i="36" s="1"/>
  <c r="M38" i="36"/>
  <c r="O38" i="36" s="1"/>
  <c r="M37" i="36"/>
  <c r="M36" i="36"/>
  <c r="O36" i="36" s="1"/>
  <c r="M35" i="36"/>
  <c r="O35" i="36" s="1"/>
  <c r="M34" i="36"/>
  <c r="O34" i="36" s="1"/>
  <c r="M33" i="36"/>
  <c r="M32" i="36"/>
  <c r="O32" i="36" s="1"/>
  <c r="M31" i="36"/>
  <c r="O31" i="36" s="1"/>
  <c r="M30" i="36"/>
  <c r="O30" i="36" s="1"/>
  <c r="M29" i="36"/>
  <c r="M28" i="36"/>
  <c r="O28" i="36" s="1"/>
  <c r="M27" i="36"/>
  <c r="O27" i="36" s="1"/>
  <c r="M26" i="36"/>
  <c r="O26" i="36" s="1"/>
  <c r="M25" i="36"/>
  <c r="M24" i="36"/>
  <c r="O24" i="36" s="1"/>
  <c r="M23" i="36"/>
  <c r="O23" i="36" s="1"/>
  <c r="M22" i="36"/>
  <c r="O22" i="36" s="1"/>
  <c r="M21" i="36"/>
  <c r="M20" i="36"/>
  <c r="O20" i="36" s="1"/>
  <c r="M19" i="36"/>
  <c r="O19" i="36" s="1"/>
  <c r="Q18" i="36"/>
  <c r="P18" i="36"/>
  <c r="R18" i="36" s="1"/>
  <c r="I18" i="36" s="1"/>
  <c r="M18" i="36"/>
  <c r="O18" i="36" s="1"/>
  <c r="S17" i="36"/>
  <c r="Q17" i="36"/>
  <c r="P17" i="36"/>
  <c r="R17" i="36" s="1"/>
  <c r="I17" i="36" s="1"/>
  <c r="M17" i="36"/>
  <c r="O17" i="36" s="1"/>
  <c r="J17" i="36"/>
  <c r="S16" i="36"/>
  <c r="Q16" i="36"/>
  <c r="P16" i="36"/>
  <c r="R16" i="36" s="1"/>
  <c r="I16" i="36" s="1"/>
  <c r="M16" i="36"/>
  <c r="O16" i="36" s="1"/>
  <c r="J16" i="36"/>
  <c r="S15" i="36"/>
  <c r="Q15" i="36"/>
  <c r="P15" i="36"/>
  <c r="R15" i="36" s="1"/>
  <c r="I15" i="36" s="1"/>
  <c r="M15" i="36"/>
  <c r="O15" i="36" s="1"/>
  <c r="J15" i="36"/>
  <c r="S14" i="36"/>
  <c r="Q14" i="36"/>
  <c r="P14" i="36"/>
  <c r="R14" i="36" s="1"/>
  <c r="I14" i="36" s="1"/>
  <c r="M14" i="36"/>
  <c r="O14" i="36" s="1"/>
  <c r="J14" i="36"/>
  <c r="S13" i="36"/>
  <c r="Q13" i="36"/>
  <c r="P13" i="36"/>
  <c r="R13" i="36" s="1"/>
  <c r="I13" i="36" s="1"/>
  <c r="M13" i="36"/>
  <c r="O13" i="36" s="1"/>
  <c r="J13" i="36"/>
  <c r="S12" i="36"/>
  <c r="Q12" i="36"/>
  <c r="P12" i="36"/>
  <c r="R12" i="36" s="1"/>
  <c r="I12" i="36" s="1"/>
  <c r="M12" i="36"/>
  <c r="O12" i="36" s="1"/>
  <c r="J12" i="36"/>
  <c r="S11" i="36"/>
  <c r="Q11" i="36"/>
  <c r="P11" i="36"/>
  <c r="R11" i="36" s="1"/>
  <c r="I11" i="36" s="1"/>
  <c r="M11" i="36"/>
  <c r="O11" i="36" s="1"/>
  <c r="J11" i="36"/>
  <c r="S10" i="36"/>
  <c r="Q10" i="36"/>
  <c r="P10" i="36"/>
  <c r="R10" i="36" s="1"/>
  <c r="I10" i="36" s="1"/>
  <c r="M10" i="36"/>
  <c r="O10" i="36" s="1"/>
  <c r="J10" i="36"/>
  <c r="S9" i="36"/>
  <c r="Q9" i="36"/>
  <c r="P9" i="36"/>
  <c r="R9" i="36" s="1"/>
  <c r="I9" i="36" s="1"/>
  <c r="M9" i="36"/>
  <c r="O9" i="36" s="1"/>
  <c r="J9" i="36"/>
  <c r="K9" i="36" s="1"/>
  <c r="S8" i="36"/>
  <c r="Q8" i="36"/>
  <c r="P8" i="36"/>
  <c r="R8" i="36" s="1"/>
  <c r="I8" i="36" s="1"/>
  <c r="M8" i="36"/>
  <c r="O8" i="36" s="1"/>
  <c r="J8" i="36"/>
  <c r="K8" i="36" s="1"/>
  <c r="S7" i="36"/>
  <c r="Q7" i="36"/>
  <c r="P7" i="36"/>
  <c r="R7" i="36" s="1"/>
  <c r="I7" i="36" s="1"/>
  <c r="M7" i="36"/>
  <c r="O7" i="36" s="1"/>
  <c r="J7" i="36"/>
  <c r="K7" i="36" s="1"/>
  <c r="S6" i="36"/>
  <c r="Q6" i="36"/>
  <c r="P6" i="36"/>
  <c r="R6" i="36" s="1"/>
  <c r="I6" i="36" s="1"/>
  <c r="M6" i="36"/>
  <c r="O6" i="36" s="1"/>
  <c r="J6" i="36"/>
  <c r="L6" i="36" s="1"/>
  <c r="S5" i="36"/>
  <c r="Q5" i="36"/>
  <c r="P5" i="36"/>
  <c r="R5" i="36" s="1"/>
  <c r="I5" i="36" s="1"/>
  <c r="M5" i="36"/>
  <c r="O5" i="36" s="1"/>
  <c r="J5" i="36"/>
  <c r="K5" i="36" s="1"/>
  <c r="H5" i="36"/>
  <c r="H6" i="36" s="1"/>
  <c r="H7" i="36" s="1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M73" i="20"/>
  <c r="N73" i="20" s="1"/>
  <c r="M73" i="19"/>
  <c r="N73" i="19" s="1"/>
  <c r="M73" i="18"/>
  <c r="N73" i="18" s="1"/>
  <c r="M73" i="17"/>
  <c r="N73" i="17" s="1"/>
  <c r="M73" i="13"/>
  <c r="N73" i="13" s="1"/>
  <c r="O73" i="13"/>
  <c r="M73" i="12"/>
  <c r="N73" i="12" s="1"/>
  <c r="M73" i="11"/>
  <c r="O73" i="11" s="1"/>
  <c r="N73" i="11"/>
  <c r="M73" i="10"/>
  <c r="N73" i="10" s="1"/>
  <c r="M73" i="5"/>
  <c r="O73" i="5" s="1"/>
  <c r="M73" i="7"/>
  <c r="N73" i="7" s="1"/>
  <c r="B48" i="4"/>
  <c r="B49" i="4"/>
  <c r="B50" i="4"/>
  <c r="B51" i="4"/>
  <c r="C48" i="4"/>
  <c r="C49" i="4"/>
  <c r="C50" i="4"/>
  <c r="C51" i="4"/>
  <c r="D48" i="4"/>
  <c r="D49" i="4"/>
  <c r="D50" i="4"/>
  <c r="D51" i="4"/>
  <c r="E48" i="4"/>
  <c r="E49" i="4"/>
  <c r="E50" i="4"/>
  <c r="E51" i="4"/>
  <c r="F48" i="4"/>
  <c r="F49" i="4"/>
  <c r="F50" i="4"/>
  <c r="F51" i="4"/>
  <c r="G48" i="4"/>
  <c r="G49" i="4"/>
  <c r="G50" i="4"/>
  <c r="G51" i="4"/>
  <c r="H48" i="4"/>
  <c r="H49" i="4"/>
  <c r="H50" i="4"/>
  <c r="H51" i="4"/>
  <c r="I48" i="4"/>
  <c r="I49" i="4"/>
  <c r="I50" i="4"/>
  <c r="I51" i="4"/>
  <c r="J48" i="4"/>
  <c r="J49" i="4"/>
  <c r="J50" i="4"/>
  <c r="J51" i="4"/>
  <c r="K48" i="4"/>
  <c r="K49" i="4"/>
  <c r="K50" i="4"/>
  <c r="K51" i="4"/>
  <c r="L48" i="4"/>
  <c r="L49" i="4"/>
  <c r="L50" i="4"/>
  <c r="L51" i="4"/>
  <c r="M48" i="4"/>
  <c r="M49" i="4"/>
  <c r="M50" i="4"/>
  <c r="M51" i="4"/>
  <c r="N48" i="4"/>
  <c r="N49" i="4"/>
  <c r="N50" i="4"/>
  <c r="N51" i="4"/>
  <c r="O48" i="4"/>
  <c r="O49" i="4"/>
  <c r="O50" i="4"/>
  <c r="O51" i="4"/>
  <c r="P48" i="4"/>
  <c r="P49" i="4"/>
  <c r="P50" i="4"/>
  <c r="P51" i="4"/>
  <c r="Q48" i="4"/>
  <c r="Q49" i="4"/>
  <c r="Q50" i="4"/>
  <c r="Q51" i="4"/>
  <c r="R48" i="4"/>
  <c r="R49" i="4"/>
  <c r="R50" i="4"/>
  <c r="R51" i="4"/>
  <c r="S48" i="4"/>
  <c r="S49" i="4"/>
  <c r="S50" i="4"/>
  <c r="S51" i="4"/>
  <c r="T48" i="4"/>
  <c r="T49" i="4"/>
  <c r="T50" i="4"/>
  <c r="T51" i="4"/>
  <c r="B43" i="4"/>
  <c r="B44" i="4"/>
  <c r="B45" i="4"/>
  <c r="B46" i="4"/>
  <c r="B47" i="4"/>
  <c r="C43" i="4"/>
  <c r="C44" i="4"/>
  <c r="C45" i="4"/>
  <c r="C46" i="4"/>
  <c r="C47" i="4"/>
  <c r="D43" i="4"/>
  <c r="D44" i="4"/>
  <c r="D45" i="4"/>
  <c r="D46" i="4"/>
  <c r="D47" i="4"/>
  <c r="E43" i="4"/>
  <c r="E44" i="4"/>
  <c r="E45" i="4"/>
  <c r="E46" i="4"/>
  <c r="E47" i="4"/>
  <c r="F43" i="4"/>
  <c r="F44" i="4"/>
  <c r="F45" i="4"/>
  <c r="F46" i="4"/>
  <c r="F47" i="4"/>
  <c r="G43" i="4"/>
  <c r="G44" i="4"/>
  <c r="G45" i="4"/>
  <c r="G46" i="4"/>
  <c r="G47" i="4"/>
  <c r="H43" i="4"/>
  <c r="H44" i="4"/>
  <c r="H45" i="4"/>
  <c r="H46" i="4"/>
  <c r="H47" i="4"/>
  <c r="I43" i="4"/>
  <c r="I44" i="4"/>
  <c r="I45" i="4"/>
  <c r="I46" i="4"/>
  <c r="I47" i="4"/>
  <c r="J43" i="4"/>
  <c r="J44" i="4"/>
  <c r="J45" i="4"/>
  <c r="J46" i="4"/>
  <c r="J47" i="4"/>
  <c r="K43" i="4"/>
  <c r="K44" i="4"/>
  <c r="K45" i="4"/>
  <c r="K46" i="4"/>
  <c r="K47" i="4"/>
  <c r="L43" i="4"/>
  <c r="L44" i="4"/>
  <c r="L45" i="4"/>
  <c r="L46" i="4"/>
  <c r="L47" i="4"/>
  <c r="M43" i="4"/>
  <c r="M44" i="4"/>
  <c r="M45" i="4"/>
  <c r="M46" i="4"/>
  <c r="M47" i="4"/>
  <c r="N43" i="4"/>
  <c r="N44" i="4"/>
  <c r="N45" i="4"/>
  <c r="N46" i="4"/>
  <c r="N47" i="4"/>
  <c r="O43" i="4"/>
  <c r="O44" i="4"/>
  <c r="O45" i="4"/>
  <c r="O46" i="4"/>
  <c r="O47" i="4"/>
  <c r="P43" i="4"/>
  <c r="P44" i="4"/>
  <c r="P45" i="4"/>
  <c r="P46" i="4"/>
  <c r="P47" i="4"/>
  <c r="Q43" i="4"/>
  <c r="Q44" i="4"/>
  <c r="Q45" i="4"/>
  <c r="Q46" i="4"/>
  <c r="Q47" i="4"/>
  <c r="R43" i="4"/>
  <c r="R44" i="4"/>
  <c r="R45" i="4"/>
  <c r="R46" i="4"/>
  <c r="R47" i="4"/>
  <c r="S43" i="4"/>
  <c r="S44" i="4"/>
  <c r="S45" i="4"/>
  <c r="S46" i="4"/>
  <c r="S47" i="4"/>
  <c r="T44" i="4"/>
  <c r="T45" i="4"/>
  <c r="T46" i="4"/>
  <c r="T47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M73" i="35"/>
  <c r="N73" i="35" s="1"/>
  <c r="M70" i="34"/>
  <c r="O70" i="34" s="1"/>
  <c r="M71" i="34"/>
  <c r="O71" i="34" s="1"/>
  <c r="M72" i="34"/>
  <c r="N72" i="34" s="1"/>
  <c r="M73" i="34"/>
  <c r="N73" i="34" s="1"/>
  <c r="M65" i="34"/>
  <c r="N65" i="34" s="1"/>
  <c r="M66" i="34"/>
  <c r="O66" i="34" s="1"/>
  <c r="M67" i="34"/>
  <c r="N67" i="34" s="1"/>
  <c r="M68" i="34"/>
  <c r="O68" i="34" s="1"/>
  <c r="M69" i="34"/>
  <c r="N69" i="34" s="1"/>
  <c r="M64" i="34"/>
  <c r="N64" i="34" s="1"/>
  <c r="M73" i="33"/>
  <c r="N73" i="33" s="1"/>
  <c r="M70" i="33"/>
  <c r="O70" i="33" s="1"/>
  <c r="M71" i="33"/>
  <c r="N71" i="33" s="1"/>
  <c r="M72" i="33"/>
  <c r="O72" i="33" s="1"/>
  <c r="N72" i="33"/>
  <c r="M65" i="33"/>
  <c r="N65" i="33" s="1"/>
  <c r="M66" i="33"/>
  <c r="O66" i="33" s="1"/>
  <c r="M67" i="33"/>
  <c r="N67" i="33" s="1"/>
  <c r="M68" i="33"/>
  <c r="N68" i="33" s="1"/>
  <c r="M69" i="33"/>
  <c r="O69" i="33" s="1"/>
  <c r="M64" i="33"/>
  <c r="N64" i="33" s="1"/>
  <c r="O99" i="2" l="1"/>
  <c r="N46" i="38"/>
  <c r="N42" i="38"/>
  <c r="O37" i="38"/>
  <c r="O33" i="38"/>
  <c r="O29" i="38"/>
  <c r="O25" i="38"/>
  <c r="O17" i="38"/>
  <c r="O16" i="38"/>
  <c r="O15" i="38"/>
  <c r="O13" i="38"/>
  <c r="O11" i="38"/>
  <c r="O9" i="38"/>
  <c r="O7" i="38"/>
  <c r="O5" i="38"/>
  <c r="O18" i="38"/>
  <c r="O19" i="38"/>
  <c r="O22" i="38"/>
  <c r="O27" i="38"/>
  <c r="O35" i="38"/>
  <c r="N44" i="38"/>
  <c r="O6" i="38"/>
  <c r="O8" i="38"/>
  <c r="O10" i="38"/>
  <c r="O12" i="38"/>
  <c r="O14" i="38"/>
  <c r="O23" i="38"/>
  <c r="O31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O20" i="38"/>
  <c r="O40" i="38"/>
  <c r="N40" i="38"/>
  <c r="O41" i="38"/>
  <c r="N41" i="38"/>
  <c r="O55" i="38"/>
  <c r="N55" i="38"/>
  <c r="O63" i="38"/>
  <c r="N63" i="38"/>
  <c r="O71" i="38"/>
  <c r="N71" i="38"/>
  <c r="O21" i="38"/>
  <c r="O24" i="38"/>
  <c r="O26" i="38"/>
  <c r="O28" i="38"/>
  <c r="O30" i="38"/>
  <c r="O32" i="38"/>
  <c r="O34" i="38"/>
  <c r="O36" i="38"/>
  <c r="O39" i="38"/>
  <c r="N39" i="38"/>
  <c r="O43" i="38"/>
  <c r="N43" i="38"/>
  <c r="O51" i="38"/>
  <c r="N51" i="38"/>
  <c r="O59" i="38"/>
  <c r="N59" i="38"/>
  <c r="O67" i="38"/>
  <c r="N67" i="38"/>
  <c r="O38" i="38"/>
  <c r="N38" i="38"/>
  <c r="O47" i="38"/>
  <c r="N47" i="38"/>
  <c r="O49" i="38"/>
  <c r="N49" i="38"/>
  <c r="O50" i="38"/>
  <c r="N50" i="38"/>
  <c r="O54" i="38"/>
  <c r="N54" i="38"/>
  <c r="O58" i="38"/>
  <c r="N58" i="38"/>
  <c r="O62" i="38"/>
  <c r="N62" i="38"/>
  <c r="O66" i="38"/>
  <c r="N66" i="38"/>
  <c r="O70" i="38"/>
  <c r="N70" i="38"/>
  <c r="O53" i="38"/>
  <c r="N53" i="38"/>
  <c r="O57" i="38"/>
  <c r="N57" i="38"/>
  <c r="O61" i="38"/>
  <c r="N61" i="38"/>
  <c r="O65" i="38"/>
  <c r="N65" i="38"/>
  <c r="O69" i="38"/>
  <c r="N69" i="38"/>
  <c r="O73" i="38"/>
  <c r="N73" i="38"/>
  <c r="N45" i="38"/>
  <c r="N48" i="38"/>
  <c r="O52" i="38"/>
  <c r="N52" i="38"/>
  <c r="O56" i="38"/>
  <c r="N56" i="38"/>
  <c r="O60" i="38"/>
  <c r="N60" i="38"/>
  <c r="O64" i="38"/>
  <c r="N64" i="38"/>
  <c r="O68" i="38"/>
  <c r="N68" i="38"/>
  <c r="O72" i="38"/>
  <c r="N72" i="38"/>
  <c r="AR5" i="4"/>
  <c r="N95" i="2"/>
  <c r="N97" i="2"/>
  <c r="N63" i="37"/>
  <c r="N47" i="37"/>
  <c r="O41" i="37"/>
  <c r="N42" i="37"/>
  <c r="N34" i="37"/>
  <c r="O33" i="37"/>
  <c r="O30" i="37"/>
  <c r="N26" i="37"/>
  <c r="O23" i="37"/>
  <c r="N24" i="37"/>
  <c r="N22" i="37"/>
  <c r="N20" i="37"/>
  <c r="O19" i="37"/>
  <c r="N18" i="37"/>
  <c r="O17" i="37"/>
  <c r="O15" i="37"/>
  <c r="N13" i="37"/>
  <c r="O11" i="37"/>
  <c r="O10" i="37"/>
  <c r="N9" i="37"/>
  <c r="O7" i="37"/>
  <c r="N5" i="37"/>
  <c r="N8" i="37"/>
  <c r="N12" i="37"/>
  <c r="N16" i="37"/>
  <c r="N21" i="37"/>
  <c r="N25" i="37"/>
  <c r="O29" i="37"/>
  <c r="N38" i="37"/>
  <c r="N71" i="37"/>
  <c r="O37" i="37"/>
  <c r="N55" i="37"/>
  <c r="O48" i="37"/>
  <c r="N48" i="37"/>
  <c r="O56" i="37"/>
  <c r="N56" i="37"/>
  <c r="N31" i="37"/>
  <c r="N35" i="37"/>
  <c r="N57" i="37"/>
  <c r="O58" i="37"/>
  <c r="N58" i="37"/>
  <c r="N61" i="37"/>
  <c r="N69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O27" i="37"/>
  <c r="N28" i="37"/>
  <c r="N32" i="37"/>
  <c r="N36" i="37"/>
  <c r="O39" i="37"/>
  <c r="N40" i="37"/>
  <c r="N44" i="37"/>
  <c r="N51" i="37"/>
  <c r="O52" i="37"/>
  <c r="N52" i="37"/>
  <c r="N59" i="37"/>
  <c r="N67" i="37"/>
  <c r="N49" i="37"/>
  <c r="O50" i="37"/>
  <c r="N50" i="37"/>
  <c r="N43" i="37"/>
  <c r="N45" i="37"/>
  <c r="O46" i="37"/>
  <c r="N46" i="37"/>
  <c r="N53" i="37"/>
  <c r="O54" i="37"/>
  <c r="N54" i="37"/>
  <c r="N65" i="37"/>
  <c r="N73" i="37"/>
  <c r="N60" i="37"/>
  <c r="N62" i="37"/>
  <c r="N64" i="37"/>
  <c r="N66" i="37"/>
  <c r="N68" i="37"/>
  <c r="N70" i="37"/>
  <c r="N72" i="37"/>
  <c r="N98" i="2"/>
  <c r="O97" i="2"/>
  <c r="O98" i="2"/>
  <c r="O96" i="2"/>
  <c r="N96" i="2"/>
  <c r="O95" i="2"/>
  <c r="AQ5" i="4" s="1"/>
  <c r="O52" i="36"/>
  <c r="O46" i="36"/>
  <c r="O44" i="36"/>
  <c r="N31" i="36"/>
  <c r="N5" i="36"/>
  <c r="N6" i="36"/>
  <c r="N8" i="36"/>
  <c r="N19" i="36"/>
  <c r="N35" i="36"/>
  <c r="O49" i="36"/>
  <c r="N23" i="36"/>
  <c r="N39" i="36"/>
  <c r="O45" i="36"/>
  <c r="L5" i="36"/>
  <c r="K6" i="36"/>
  <c r="N7" i="36"/>
  <c r="N9" i="36"/>
  <c r="N27" i="36"/>
  <c r="O48" i="36"/>
  <c r="O50" i="36"/>
  <c r="L7" i="36"/>
  <c r="L8" i="36"/>
  <c r="L9" i="36"/>
  <c r="O55" i="36"/>
  <c r="N55" i="36"/>
  <c r="O71" i="36"/>
  <c r="N71" i="36"/>
  <c r="N10" i="36"/>
  <c r="N11" i="36"/>
  <c r="N12" i="36"/>
  <c r="N13" i="36"/>
  <c r="N14" i="36"/>
  <c r="N15" i="36"/>
  <c r="N16" i="36"/>
  <c r="N17" i="36"/>
  <c r="N18" i="36"/>
  <c r="N20" i="36"/>
  <c r="O21" i="36"/>
  <c r="N21" i="36"/>
  <c r="N24" i="36"/>
  <c r="O25" i="36"/>
  <c r="N25" i="36"/>
  <c r="N28" i="36"/>
  <c r="O29" i="36"/>
  <c r="N29" i="36"/>
  <c r="N32" i="36"/>
  <c r="O33" i="36"/>
  <c r="N33" i="36"/>
  <c r="N36" i="36"/>
  <c r="O37" i="36"/>
  <c r="N37" i="36"/>
  <c r="N40" i="36"/>
  <c r="O41" i="36"/>
  <c r="N41" i="36"/>
  <c r="O53" i="36"/>
  <c r="O58" i="36"/>
  <c r="N58" i="36"/>
  <c r="O69" i="36"/>
  <c r="N69" i="36"/>
  <c r="N43" i="36"/>
  <c r="O43" i="36"/>
  <c r="O63" i="36"/>
  <c r="N63" i="36"/>
  <c r="L10" i="36"/>
  <c r="K10" i="36"/>
  <c r="L11" i="36"/>
  <c r="K11" i="36"/>
  <c r="L12" i="36"/>
  <c r="K12" i="36"/>
  <c r="L13" i="36"/>
  <c r="K13" i="36"/>
  <c r="L14" i="36"/>
  <c r="K14" i="36"/>
  <c r="L15" i="36"/>
  <c r="K15" i="36"/>
  <c r="L16" i="36"/>
  <c r="K16" i="36"/>
  <c r="L17" i="36"/>
  <c r="K17" i="36"/>
  <c r="O61" i="36"/>
  <c r="N61" i="36"/>
  <c r="O66" i="36"/>
  <c r="N66" i="36"/>
  <c r="N22" i="36"/>
  <c r="N26" i="36"/>
  <c r="N30" i="36"/>
  <c r="N34" i="36"/>
  <c r="N38" i="36"/>
  <c r="O42" i="36"/>
  <c r="O47" i="36"/>
  <c r="O51" i="36"/>
  <c r="O54" i="36"/>
  <c r="N54" i="36"/>
  <c r="O57" i="36"/>
  <c r="N57" i="36"/>
  <c r="O59" i="36"/>
  <c r="N59" i="36"/>
  <c r="O62" i="36"/>
  <c r="N62" i="36"/>
  <c r="O65" i="36"/>
  <c r="N65" i="36"/>
  <c r="O67" i="36"/>
  <c r="N67" i="36"/>
  <c r="O70" i="36"/>
  <c r="N70" i="36"/>
  <c r="O73" i="36"/>
  <c r="N73" i="36"/>
  <c r="O56" i="36"/>
  <c r="N56" i="36"/>
  <c r="O60" i="36"/>
  <c r="N60" i="36"/>
  <c r="O64" i="36"/>
  <c r="N64" i="36"/>
  <c r="O68" i="36"/>
  <c r="N68" i="36"/>
  <c r="O72" i="36"/>
  <c r="N72" i="36"/>
  <c r="O73" i="20"/>
  <c r="O73" i="19"/>
  <c r="O73" i="18"/>
  <c r="O73" i="17"/>
  <c r="O73" i="10"/>
  <c r="O73" i="7"/>
  <c r="O73" i="35"/>
  <c r="O73" i="34"/>
  <c r="O72" i="34"/>
  <c r="N71" i="34"/>
  <c r="N70" i="34"/>
  <c r="N68" i="34"/>
  <c r="N66" i="34"/>
  <c r="O67" i="34"/>
  <c r="O69" i="34"/>
  <c r="O65" i="34"/>
  <c r="O64" i="34"/>
  <c r="O73" i="33"/>
  <c r="O71" i="33"/>
  <c r="N69" i="33"/>
  <c r="O67" i="33"/>
  <c r="N66" i="33"/>
  <c r="N70" i="33"/>
  <c r="O65" i="33"/>
  <c r="O64" i="33"/>
  <c r="M70" i="32"/>
  <c r="O70" i="32" s="1"/>
  <c r="M71" i="32"/>
  <c r="O71" i="32" s="1"/>
  <c r="M72" i="32"/>
  <c r="O72" i="32" s="1"/>
  <c r="M73" i="32"/>
  <c r="O73" i="32" s="1"/>
  <c r="N70" i="32"/>
  <c r="N71" i="32"/>
  <c r="N72" i="32"/>
  <c r="M65" i="32"/>
  <c r="M66" i="32"/>
  <c r="O66" i="32" s="1"/>
  <c r="M67" i="32"/>
  <c r="N67" i="32" s="1"/>
  <c r="M68" i="32"/>
  <c r="O68" i="32" s="1"/>
  <c r="M69" i="32"/>
  <c r="O69" i="32" s="1"/>
  <c r="N66" i="32"/>
  <c r="M64" i="32"/>
  <c r="N64" i="32" s="1"/>
  <c r="M70" i="31"/>
  <c r="O70" i="31" s="1"/>
  <c r="M71" i="31"/>
  <c r="O71" i="31" s="1"/>
  <c r="M72" i="31"/>
  <c r="O72" i="31" s="1"/>
  <c r="M73" i="31"/>
  <c r="N73" i="31" s="1"/>
  <c r="N70" i="31"/>
  <c r="N71" i="31"/>
  <c r="M65" i="31"/>
  <c r="N65" i="31" s="1"/>
  <c r="M66" i="31"/>
  <c r="O66" i="31" s="1"/>
  <c r="M67" i="31"/>
  <c r="N67" i="31" s="1"/>
  <c r="M68" i="31"/>
  <c r="N68" i="31" s="1"/>
  <c r="M69" i="31"/>
  <c r="N69" i="31" s="1"/>
  <c r="N66" i="31"/>
  <c r="O68" i="31"/>
  <c r="M64" i="31"/>
  <c r="N64" i="31" s="1"/>
  <c r="M70" i="29"/>
  <c r="O70" i="29" s="1"/>
  <c r="M71" i="29"/>
  <c r="O71" i="29" s="1"/>
  <c r="M72" i="29"/>
  <c r="O72" i="29" s="1"/>
  <c r="M73" i="29"/>
  <c r="N73" i="29" s="1"/>
  <c r="N70" i="29"/>
  <c r="N71" i="29"/>
  <c r="M65" i="29"/>
  <c r="N65" i="29" s="1"/>
  <c r="M66" i="29"/>
  <c r="O66" i="29" s="1"/>
  <c r="M67" i="29"/>
  <c r="N67" i="29" s="1"/>
  <c r="M68" i="29"/>
  <c r="O68" i="29" s="1"/>
  <c r="M69" i="29"/>
  <c r="N69" i="29" s="1"/>
  <c r="N66" i="29"/>
  <c r="O65" i="29"/>
  <c r="O69" i="29"/>
  <c r="M64" i="29"/>
  <c r="N64" i="29" s="1"/>
  <c r="M70" i="28"/>
  <c r="N70" i="28" s="1"/>
  <c r="M71" i="28"/>
  <c r="N71" i="28" s="1"/>
  <c r="M72" i="28"/>
  <c r="N72" i="28" s="1"/>
  <c r="M73" i="28"/>
  <c r="O73" i="28" s="1"/>
  <c r="M65" i="28"/>
  <c r="O65" i="28" s="1"/>
  <c r="M66" i="28"/>
  <c r="O66" i="28" s="1"/>
  <c r="M67" i="28"/>
  <c r="N67" i="28" s="1"/>
  <c r="M68" i="28"/>
  <c r="O68" i="28" s="1"/>
  <c r="M69" i="28"/>
  <c r="O69" i="28" s="1"/>
  <c r="N66" i="28"/>
  <c r="M64" i="28"/>
  <c r="N64" i="28" s="1"/>
  <c r="M70" i="26"/>
  <c r="O70" i="26" s="1"/>
  <c r="M71" i="26"/>
  <c r="O71" i="26" s="1"/>
  <c r="M72" i="26"/>
  <c r="N72" i="26" s="1"/>
  <c r="M73" i="26"/>
  <c r="O73" i="26" s="1"/>
  <c r="O72" i="26"/>
  <c r="M65" i="26"/>
  <c r="M66" i="26"/>
  <c r="O66" i="26" s="1"/>
  <c r="M67" i="26"/>
  <c r="N67" i="26" s="1"/>
  <c r="M68" i="26"/>
  <c r="O68" i="26" s="1"/>
  <c r="M69" i="26"/>
  <c r="N69" i="26" s="1"/>
  <c r="M64" i="26"/>
  <c r="N64" i="26" s="1"/>
  <c r="M70" i="25"/>
  <c r="O70" i="25" s="1"/>
  <c r="M71" i="25"/>
  <c r="N71" i="25" s="1"/>
  <c r="M72" i="25"/>
  <c r="N72" i="25" s="1"/>
  <c r="M73" i="25"/>
  <c r="O73" i="25" s="1"/>
  <c r="N70" i="25"/>
  <c r="M65" i="25"/>
  <c r="O65" i="25" s="1"/>
  <c r="M66" i="25"/>
  <c r="O66" i="25" s="1"/>
  <c r="M67" i="25"/>
  <c r="N67" i="25" s="1"/>
  <c r="M68" i="25"/>
  <c r="O68" i="25" s="1"/>
  <c r="M69" i="25"/>
  <c r="O69" i="25" s="1"/>
  <c r="N69" i="25"/>
  <c r="M64" i="25"/>
  <c r="N64" i="25" s="1"/>
  <c r="M70" i="20"/>
  <c r="O70" i="20" s="1"/>
  <c r="M71" i="20"/>
  <c r="N71" i="20" s="1"/>
  <c r="M72" i="20"/>
  <c r="N72" i="20" s="1"/>
  <c r="M65" i="20"/>
  <c r="N65" i="20" s="1"/>
  <c r="M66" i="20"/>
  <c r="O66" i="20" s="1"/>
  <c r="M67" i="20"/>
  <c r="N67" i="20" s="1"/>
  <c r="M68" i="20"/>
  <c r="N68" i="20" s="1"/>
  <c r="M69" i="20"/>
  <c r="N69" i="20" s="1"/>
  <c r="M64" i="20"/>
  <c r="O64" i="20" s="1"/>
  <c r="M70" i="19"/>
  <c r="O70" i="19" s="1"/>
  <c r="M71" i="19"/>
  <c r="N71" i="19" s="1"/>
  <c r="M72" i="19"/>
  <c r="N72" i="19" s="1"/>
  <c r="M65" i="19"/>
  <c r="N65" i="19" s="1"/>
  <c r="M66" i="19"/>
  <c r="O66" i="19" s="1"/>
  <c r="M67" i="19"/>
  <c r="N67" i="19" s="1"/>
  <c r="M68" i="19"/>
  <c r="N68" i="19" s="1"/>
  <c r="M69" i="19"/>
  <c r="N69" i="19" s="1"/>
  <c r="M64" i="19"/>
  <c r="N64" i="19" s="1"/>
  <c r="M70" i="18"/>
  <c r="O70" i="18" s="1"/>
  <c r="M71" i="18"/>
  <c r="O71" i="18" s="1"/>
  <c r="M72" i="18"/>
  <c r="N72" i="18" s="1"/>
  <c r="M65" i="18"/>
  <c r="N65" i="18" s="1"/>
  <c r="M66" i="18"/>
  <c r="O66" i="18" s="1"/>
  <c r="M67" i="18"/>
  <c r="N67" i="18" s="1"/>
  <c r="M68" i="18"/>
  <c r="O68" i="18" s="1"/>
  <c r="M69" i="18"/>
  <c r="O69" i="18" s="1"/>
  <c r="M64" i="18"/>
  <c r="O64" i="18" s="1"/>
  <c r="M70" i="17"/>
  <c r="O70" i="17" s="1"/>
  <c r="M71" i="17"/>
  <c r="O71" i="17" s="1"/>
  <c r="M72" i="17"/>
  <c r="O72" i="17" s="1"/>
  <c r="M65" i="17"/>
  <c r="O65" i="17" s="1"/>
  <c r="M66" i="17"/>
  <c r="O66" i="17" s="1"/>
  <c r="M67" i="17"/>
  <c r="N67" i="17" s="1"/>
  <c r="M68" i="17"/>
  <c r="O68" i="17" s="1"/>
  <c r="M69" i="17"/>
  <c r="O69" i="17" s="1"/>
  <c r="M64" i="17"/>
  <c r="N64" i="17" s="1"/>
  <c r="M71" i="13"/>
  <c r="N71" i="13" s="1"/>
  <c r="M72" i="13"/>
  <c r="N72" i="13" s="1"/>
  <c r="M70" i="13"/>
  <c r="N70" i="13" s="1"/>
  <c r="M65" i="13"/>
  <c r="N65" i="13" s="1"/>
  <c r="M66" i="13"/>
  <c r="O66" i="13" s="1"/>
  <c r="M67" i="13"/>
  <c r="N67" i="13" s="1"/>
  <c r="M68" i="13"/>
  <c r="O68" i="13" s="1"/>
  <c r="M69" i="13"/>
  <c r="O69" i="13" s="1"/>
  <c r="M64" i="13"/>
  <c r="N64" i="13" s="1"/>
  <c r="M70" i="12"/>
  <c r="O70" i="12" s="1"/>
  <c r="M71" i="12"/>
  <c r="M72" i="12"/>
  <c r="N72" i="12" s="1"/>
  <c r="M65" i="12"/>
  <c r="N65" i="12" s="1"/>
  <c r="M66" i="12"/>
  <c r="O66" i="12" s="1"/>
  <c r="M67" i="12"/>
  <c r="N67" i="12" s="1"/>
  <c r="M68" i="12"/>
  <c r="N68" i="12" s="1"/>
  <c r="M69" i="12"/>
  <c r="N69" i="12" s="1"/>
  <c r="M64" i="12"/>
  <c r="N64" i="12" s="1"/>
  <c r="M70" i="11"/>
  <c r="O70" i="11" s="1"/>
  <c r="M71" i="11"/>
  <c r="O71" i="11" s="1"/>
  <c r="M72" i="11"/>
  <c r="N72" i="11" s="1"/>
  <c r="M65" i="11"/>
  <c r="O65" i="11" s="1"/>
  <c r="M66" i="11"/>
  <c r="O66" i="11" s="1"/>
  <c r="M67" i="11"/>
  <c r="N67" i="11" s="1"/>
  <c r="M68" i="11"/>
  <c r="N68" i="11" s="1"/>
  <c r="M69" i="11"/>
  <c r="N69" i="11" s="1"/>
  <c r="M64" i="11"/>
  <c r="N64" i="11" s="1"/>
  <c r="M70" i="10"/>
  <c r="O70" i="10" s="1"/>
  <c r="M71" i="10"/>
  <c r="O71" i="10" s="1"/>
  <c r="M72" i="10"/>
  <c r="N72" i="10" s="1"/>
  <c r="M65" i="10"/>
  <c r="M66" i="10"/>
  <c r="O66" i="10" s="1"/>
  <c r="M67" i="10"/>
  <c r="N67" i="10" s="1"/>
  <c r="M68" i="10"/>
  <c r="O68" i="10" s="1"/>
  <c r="M69" i="10"/>
  <c r="N69" i="10" s="1"/>
  <c r="M64" i="10"/>
  <c r="N64" i="10" s="1"/>
  <c r="M70" i="5"/>
  <c r="O70" i="5" s="1"/>
  <c r="M71" i="5"/>
  <c r="N71" i="5" s="1"/>
  <c r="M72" i="5"/>
  <c r="N72" i="5" s="1"/>
  <c r="M65" i="5"/>
  <c r="N65" i="5" s="1"/>
  <c r="M66" i="5"/>
  <c r="O66" i="5" s="1"/>
  <c r="M67" i="5"/>
  <c r="N67" i="5" s="1"/>
  <c r="M68" i="5"/>
  <c r="N68" i="5" s="1"/>
  <c r="M69" i="5"/>
  <c r="N69" i="5" s="1"/>
  <c r="M64" i="5"/>
  <c r="N64" i="5" s="1"/>
  <c r="M70" i="7"/>
  <c r="N70" i="7" s="1"/>
  <c r="M71" i="7"/>
  <c r="O71" i="7" s="1"/>
  <c r="M72" i="7"/>
  <c r="N72" i="7" s="1"/>
  <c r="M69" i="7"/>
  <c r="N69" i="7" s="1"/>
  <c r="M65" i="7"/>
  <c r="N65" i="7" s="1"/>
  <c r="M66" i="7"/>
  <c r="O66" i="7" s="1"/>
  <c r="M67" i="7"/>
  <c r="N67" i="7" s="1"/>
  <c r="M68" i="7"/>
  <c r="N68" i="7" s="1"/>
  <c r="M64" i="7"/>
  <c r="O64" i="7" s="1"/>
  <c r="C23" i="16"/>
  <c r="H94" i="2"/>
  <c r="I94" i="2"/>
  <c r="J94" i="2"/>
  <c r="K94" i="2"/>
  <c r="L94" i="2"/>
  <c r="M94" i="2"/>
  <c r="P94" i="2"/>
  <c r="Q94" i="2"/>
  <c r="R94" i="2"/>
  <c r="S94" i="2"/>
  <c r="M70" i="35"/>
  <c r="O70" i="35" s="1"/>
  <c r="M71" i="35"/>
  <c r="O71" i="35" s="1"/>
  <c r="M72" i="35"/>
  <c r="O72" i="35" s="1"/>
  <c r="M65" i="35"/>
  <c r="N65" i="35" s="1"/>
  <c r="M66" i="35"/>
  <c r="O66" i="35" s="1"/>
  <c r="M67" i="35"/>
  <c r="N67" i="35" s="1"/>
  <c r="M68" i="35"/>
  <c r="O68" i="35" s="1"/>
  <c r="M69" i="35"/>
  <c r="O69" i="35" s="1"/>
  <c r="M64" i="35"/>
  <c r="N64" i="35" s="1"/>
  <c r="D26" i="16"/>
  <c r="S70" i="38"/>
  <c r="S66" i="38"/>
  <c r="S62" i="38"/>
  <c r="S58" i="38"/>
  <c r="S54" i="38"/>
  <c r="S50" i="38"/>
  <c r="S46" i="38"/>
  <c r="S42" i="38"/>
  <c r="J70" i="38"/>
  <c r="J66" i="38"/>
  <c r="J62" i="38"/>
  <c r="J58" i="38"/>
  <c r="J54" i="38"/>
  <c r="J50" i="38"/>
  <c r="P36" i="38"/>
  <c r="P32" i="38"/>
  <c r="P28" i="38"/>
  <c r="P24" i="38"/>
  <c r="S41" i="38"/>
  <c r="S37" i="38"/>
  <c r="J41" i="38"/>
  <c r="J37" i="38"/>
  <c r="J33" i="38"/>
  <c r="J29" i="38"/>
  <c r="J25" i="38"/>
  <c r="J21" i="38"/>
  <c r="J19" i="38"/>
  <c r="S26" i="38"/>
  <c r="S29" i="38"/>
  <c r="S22" i="38"/>
  <c r="P22" i="38"/>
  <c r="S32" i="38"/>
  <c r="D25" i="16"/>
  <c r="S70" i="37"/>
  <c r="S66" i="37"/>
  <c r="S62" i="37"/>
  <c r="S58" i="37"/>
  <c r="S54" i="37"/>
  <c r="S50" i="37"/>
  <c r="S46" i="37"/>
  <c r="S42" i="37"/>
  <c r="J67" i="37"/>
  <c r="J59" i="37"/>
  <c r="J51" i="37"/>
  <c r="J44" i="37"/>
  <c r="J56" i="37"/>
  <c r="S37" i="37"/>
  <c r="S29" i="37"/>
  <c r="J38" i="37"/>
  <c r="S23" i="37"/>
  <c r="J50" i="37"/>
  <c r="S34" i="37"/>
  <c r="J24" i="37"/>
  <c r="J72" i="37"/>
  <c r="S40" i="37"/>
  <c r="S32" i="37"/>
  <c r="J66" i="37"/>
  <c r="J30" i="37"/>
  <c r="S20" i="37"/>
  <c r="J58" i="37"/>
  <c r="J20" i="37"/>
  <c r="S73" i="36"/>
  <c r="S69" i="36"/>
  <c r="S65" i="36"/>
  <c r="S61" i="36"/>
  <c r="S57" i="36"/>
  <c r="S53" i="36"/>
  <c r="J70" i="36"/>
  <c r="J66" i="36"/>
  <c r="J62" i="36"/>
  <c r="J58" i="36"/>
  <c r="J54" i="36"/>
  <c r="J50" i="36"/>
  <c r="J46" i="36"/>
  <c r="S44" i="36"/>
  <c r="S38" i="36"/>
  <c r="S34" i="36"/>
  <c r="S30" i="36"/>
  <c r="S26" i="36"/>
  <c r="S22" i="36"/>
  <c r="J41" i="36"/>
  <c r="J25" i="36"/>
  <c r="S49" i="36"/>
  <c r="J36" i="36"/>
  <c r="J20" i="36"/>
  <c r="S46" i="36"/>
  <c r="J39" i="36"/>
  <c r="J23" i="36"/>
  <c r="J22" i="36"/>
  <c r="J34" i="36"/>
  <c r="S73" i="20"/>
  <c r="J73" i="17"/>
  <c r="J73" i="13"/>
  <c r="S73" i="11"/>
  <c r="S73" i="10"/>
  <c r="S73" i="5"/>
  <c r="S70" i="34"/>
  <c r="J73" i="34"/>
  <c r="S66" i="34"/>
  <c r="S68" i="34"/>
  <c r="S67" i="34"/>
  <c r="J73" i="33"/>
  <c r="S70" i="33"/>
  <c r="S66" i="33"/>
  <c r="S68" i="33"/>
  <c r="J68" i="33"/>
  <c r="S73" i="34"/>
  <c r="S64" i="34"/>
  <c r="S72" i="33"/>
  <c r="J66" i="33"/>
  <c r="Q72" i="37"/>
  <c r="J23" i="37"/>
  <c r="S63" i="36"/>
  <c r="S55" i="36"/>
  <c r="J56" i="36"/>
  <c r="J44" i="36"/>
  <c r="S24" i="36"/>
  <c r="S45" i="36"/>
  <c r="J18" i="36"/>
  <c r="S73" i="35"/>
  <c r="S73" i="38"/>
  <c r="S69" i="38"/>
  <c r="S65" i="38"/>
  <c r="S61" i="38"/>
  <c r="S57" i="38"/>
  <c r="S53" i="38"/>
  <c r="S49" i="38"/>
  <c r="S45" i="38"/>
  <c r="J73" i="38"/>
  <c r="J69" i="38"/>
  <c r="J65" i="38"/>
  <c r="J61" i="38"/>
  <c r="J57" i="38"/>
  <c r="J53" i="38"/>
  <c r="J49" i="38"/>
  <c r="P35" i="38"/>
  <c r="P31" i="38"/>
  <c r="P27" i="38"/>
  <c r="P23" i="38"/>
  <c r="S40" i="38"/>
  <c r="J48" i="38"/>
  <c r="J40" i="38"/>
  <c r="J36" i="38"/>
  <c r="J32" i="38"/>
  <c r="J28" i="38"/>
  <c r="J24" i="38"/>
  <c r="J20" i="38"/>
  <c r="J18" i="38"/>
  <c r="S35" i="38"/>
  <c r="S27" i="38"/>
  <c r="P20" i="38"/>
  <c r="S18" i="38"/>
  <c r="S28" i="38"/>
  <c r="S73" i="37"/>
  <c r="S69" i="37"/>
  <c r="S65" i="37"/>
  <c r="S61" i="37"/>
  <c r="S57" i="37"/>
  <c r="S53" i="37"/>
  <c r="S49" i="37"/>
  <c r="S45" i="37"/>
  <c r="J73" i="37"/>
  <c r="J65" i="37"/>
  <c r="J57" i="37"/>
  <c r="J49" i="37"/>
  <c r="Q73" i="37"/>
  <c r="J48" i="37"/>
  <c r="J36" i="37"/>
  <c r="J28" i="37"/>
  <c r="S35" i="37"/>
  <c r="S21" i="37"/>
  <c r="J41" i="37"/>
  <c r="S30" i="37"/>
  <c r="J22" i="37"/>
  <c r="J64" i="37"/>
  <c r="J39" i="37"/>
  <c r="J31" i="37"/>
  <c r="J52" i="37"/>
  <c r="S27" i="37"/>
  <c r="S19" i="37"/>
  <c r="J33" i="37"/>
  <c r="S26" i="37"/>
  <c r="S72" i="36"/>
  <c r="S68" i="36"/>
  <c r="S64" i="36"/>
  <c r="S60" i="36"/>
  <c r="S56" i="36"/>
  <c r="J73" i="36"/>
  <c r="J69" i="36"/>
  <c r="J65" i="36"/>
  <c r="J61" i="36"/>
  <c r="J57" i="36"/>
  <c r="J53" i="36"/>
  <c r="J49" i="36"/>
  <c r="J45" i="36"/>
  <c r="S41" i="36"/>
  <c r="S37" i="36"/>
  <c r="S33" i="36"/>
  <c r="S29" i="36"/>
  <c r="S25" i="36"/>
  <c r="S21" i="36"/>
  <c r="J37" i="36"/>
  <c r="J21" i="36"/>
  <c r="S48" i="36"/>
  <c r="J32" i="36"/>
  <c r="Q19" i="36"/>
  <c r="S43" i="36"/>
  <c r="J35" i="36"/>
  <c r="J19" i="36"/>
  <c r="S50" i="36"/>
  <c r="J30" i="36"/>
  <c r="J73" i="18"/>
  <c r="S73" i="17"/>
  <c r="S73" i="13"/>
  <c r="J73" i="12"/>
  <c r="J73" i="11"/>
  <c r="J73" i="35"/>
  <c r="S71" i="34"/>
  <c r="S67" i="36"/>
  <c r="J72" i="36"/>
  <c r="J60" i="36"/>
  <c r="S36" i="36"/>
  <c r="S28" i="36"/>
  <c r="Q20" i="36"/>
  <c r="J31" i="36"/>
  <c r="J73" i="19"/>
  <c r="S73" i="7"/>
  <c r="S72" i="38"/>
  <c r="S68" i="38"/>
  <c r="S64" i="38"/>
  <c r="S60" i="38"/>
  <c r="S56" i="38"/>
  <c r="S52" i="38"/>
  <c r="S48" i="38"/>
  <c r="S44" i="38"/>
  <c r="J72" i="38"/>
  <c r="J68" i="38"/>
  <c r="J64" i="38"/>
  <c r="J60" i="38"/>
  <c r="J56" i="38"/>
  <c r="J52" i="38"/>
  <c r="J44" i="38"/>
  <c r="P34" i="38"/>
  <c r="P30" i="38"/>
  <c r="P26" i="38"/>
  <c r="J47" i="38"/>
  <c r="S39" i="38"/>
  <c r="J46" i="38"/>
  <c r="J39" i="38"/>
  <c r="J35" i="38"/>
  <c r="J31" i="38"/>
  <c r="J27" i="38"/>
  <c r="J23" i="38"/>
  <c r="P21" i="38"/>
  <c r="J45" i="38"/>
  <c r="S33" i="38"/>
  <c r="S25" i="38"/>
  <c r="S36" i="38"/>
  <c r="S21" i="38"/>
  <c r="S24" i="38"/>
  <c r="S72" i="37"/>
  <c r="S68" i="37"/>
  <c r="S64" i="37"/>
  <c r="S60" i="37"/>
  <c r="S56" i="37"/>
  <c r="S52" i="37"/>
  <c r="S48" i="37"/>
  <c r="S44" i="37"/>
  <c r="J71" i="37"/>
  <c r="J63" i="37"/>
  <c r="J55" i="37"/>
  <c r="J47" i="37"/>
  <c r="J70" i="37"/>
  <c r="S41" i="37"/>
  <c r="S33" i="37"/>
  <c r="J43" i="37"/>
  <c r="S31" i="37"/>
  <c r="S18" i="37"/>
  <c r="S38" i="37"/>
  <c r="J29" i="37"/>
  <c r="J19" i="37"/>
  <c r="J54" i="37"/>
  <c r="S36" i="37"/>
  <c r="S28" i="37"/>
  <c r="S39" i="37"/>
  <c r="S24" i="37"/>
  <c r="J64" i="36"/>
  <c r="J48" i="36"/>
  <c r="S20" i="36"/>
  <c r="J28" i="36"/>
  <c r="S42" i="36"/>
  <c r="S73" i="18"/>
  <c r="J72" i="34"/>
  <c r="S71" i="38"/>
  <c r="S67" i="38"/>
  <c r="S63" i="38"/>
  <c r="S59" i="38"/>
  <c r="S55" i="38"/>
  <c r="S51" i="38"/>
  <c r="S47" i="38"/>
  <c r="S43" i="38"/>
  <c r="J71" i="38"/>
  <c r="J67" i="38"/>
  <c r="J63" i="38"/>
  <c r="J59" i="38"/>
  <c r="J55" i="38"/>
  <c r="J51" i="38"/>
  <c r="P37" i="38"/>
  <c r="P33" i="38"/>
  <c r="P29" i="38"/>
  <c r="P25" i="38"/>
  <c r="J43" i="38"/>
  <c r="S38" i="38"/>
  <c r="J42" i="38"/>
  <c r="J38" i="38"/>
  <c r="J34" i="38"/>
  <c r="J30" i="38"/>
  <c r="J26" i="38"/>
  <c r="J22" i="38"/>
  <c r="S19" i="38"/>
  <c r="S34" i="38"/>
  <c r="S31" i="38"/>
  <c r="S23" i="38"/>
  <c r="S30" i="38"/>
  <c r="P19" i="38"/>
  <c r="S20" i="38"/>
  <c r="S71" i="37"/>
  <c r="S67" i="37"/>
  <c r="S63" i="37"/>
  <c r="S59" i="37"/>
  <c r="S55" i="37"/>
  <c r="S51" i="37"/>
  <c r="S47" i="37"/>
  <c r="S43" i="37"/>
  <c r="J69" i="37"/>
  <c r="J61" i="37"/>
  <c r="J53" i="37"/>
  <c r="J45" i="37"/>
  <c r="J62" i="37"/>
  <c r="J40" i="37"/>
  <c r="J32" i="37"/>
  <c r="J42" i="37"/>
  <c r="S25" i="37"/>
  <c r="J60" i="37"/>
  <c r="J37" i="37"/>
  <c r="J25" i="37"/>
  <c r="J18" i="37"/>
  <c r="J46" i="37"/>
  <c r="J35" i="37"/>
  <c r="J27" i="37"/>
  <c r="J34" i="37"/>
  <c r="S22" i="37"/>
  <c r="J68" i="37"/>
  <c r="J21" i="37"/>
  <c r="D24" i="16"/>
  <c r="S70" i="36"/>
  <c r="S66" i="36"/>
  <c r="S62" i="36"/>
  <c r="S58" i="36"/>
  <c r="S54" i="36"/>
  <c r="J71" i="36"/>
  <c r="J67" i="36"/>
  <c r="J63" i="36"/>
  <c r="J59" i="36"/>
  <c r="J55" i="36"/>
  <c r="J51" i="36"/>
  <c r="J47" i="36"/>
  <c r="J43" i="36"/>
  <c r="S39" i="36"/>
  <c r="S35" i="36"/>
  <c r="S31" i="36"/>
  <c r="S27" i="36"/>
  <c r="S23" i="36"/>
  <c r="S19" i="36"/>
  <c r="J29" i="36"/>
  <c r="S52" i="36"/>
  <c r="J40" i="36"/>
  <c r="J24" i="36"/>
  <c r="S51" i="36"/>
  <c r="S47" i="36"/>
  <c r="J27" i="36"/>
  <c r="J26" i="36"/>
  <c r="J38" i="36"/>
  <c r="J73" i="20"/>
  <c r="S73" i="19"/>
  <c r="S73" i="12"/>
  <c r="J73" i="10"/>
  <c r="J73" i="5"/>
  <c r="J73" i="7"/>
  <c r="J70" i="34"/>
  <c r="S72" i="34"/>
  <c r="J67" i="34"/>
  <c r="J69" i="34"/>
  <c r="S69" i="34"/>
  <c r="S73" i="33"/>
  <c r="J71" i="33"/>
  <c r="J67" i="33"/>
  <c r="J69" i="33"/>
  <c r="S69" i="33"/>
  <c r="J68" i="34"/>
  <c r="J66" i="34"/>
  <c r="J72" i="33"/>
  <c r="S67" i="33"/>
  <c r="S64" i="33"/>
  <c r="J26" i="37"/>
  <c r="S71" i="36"/>
  <c r="S59" i="36"/>
  <c r="J68" i="36"/>
  <c r="J52" i="36"/>
  <c r="S40" i="36"/>
  <c r="S32" i="36"/>
  <c r="J33" i="36"/>
  <c r="S18" i="36"/>
  <c r="J42" i="36"/>
  <c r="J71" i="34"/>
  <c r="S71" i="33"/>
  <c r="J64" i="33"/>
  <c r="S65" i="33"/>
  <c r="J65" i="34"/>
  <c r="J70" i="33"/>
  <c r="S65" i="34"/>
  <c r="J65" i="33"/>
  <c r="J64" i="34"/>
  <c r="Q35" i="38"/>
  <c r="Q45" i="38"/>
  <c r="P60" i="38"/>
  <c r="P61" i="38"/>
  <c r="Q38" i="38"/>
  <c r="Q56" i="38"/>
  <c r="Q50" i="38"/>
  <c r="Q70" i="38"/>
  <c r="Q41" i="38"/>
  <c r="P55" i="38"/>
  <c r="P42" i="38"/>
  <c r="P39" i="38"/>
  <c r="P47" i="38"/>
  <c r="P51" i="38"/>
  <c r="P65" i="38"/>
  <c r="P54" i="38"/>
  <c r="P52" i="38"/>
  <c r="P71" i="38"/>
  <c r="Q68" i="38"/>
  <c r="Q55" i="38"/>
  <c r="Q61" i="38"/>
  <c r="P68" i="38"/>
  <c r="P56" i="38"/>
  <c r="P43" i="38"/>
  <c r="P44" i="38"/>
  <c r="P62" i="38"/>
  <c r="Q22" i="38"/>
  <c r="Q29" i="38"/>
  <c r="Q20" i="38"/>
  <c r="Q30" i="38"/>
  <c r="Q42" i="38"/>
  <c r="Q60" i="38"/>
  <c r="Q63" i="38"/>
  <c r="P58" i="38"/>
  <c r="P21" i="37"/>
  <c r="P25" i="37"/>
  <c r="P69" i="37"/>
  <c r="P72" i="37"/>
  <c r="Q61" i="37"/>
  <c r="P64" i="37"/>
  <c r="P66" i="37"/>
  <c r="P42" i="37"/>
  <c r="Q28" i="37"/>
  <c r="Q30" i="37"/>
  <c r="Q33" i="37"/>
  <c r="Q39" i="37"/>
  <c r="Q42" i="37"/>
  <c r="Q48" i="37"/>
  <c r="Q43" i="37"/>
  <c r="P58" i="37"/>
  <c r="Q68" i="37"/>
  <c r="P48" i="37"/>
  <c r="P31" i="37"/>
  <c r="P35" i="37"/>
  <c r="P39" i="37"/>
  <c r="P51" i="37"/>
  <c r="Q62" i="37"/>
  <c r="Q57" i="37"/>
  <c r="Q59" i="37"/>
  <c r="P23" i="36"/>
  <c r="P27" i="36"/>
  <c r="Q41" i="36"/>
  <c r="P46" i="36"/>
  <c r="P55" i="36"/>
  <c r="Q62" i="36"/>
  <c r="P73" i="36"/>
  <c r="Q58" i="36"/>
  <c r="P24" i="36"/>
  <c r="Q38" i="36"/>
  <c r="P42" i="36"/>
  <c r="Q54" i="36"/>
  <c r="Q56" i="36"/>
  <c r="Q72" i="36"/>
  <c r="Q65" i="36"/>
  <c r="P29" i="36"/>
  <c r="Q34" i="36"/>
  <c r="Q33" i="36"/>
  <c r="Q24" i="36"/>
  <c r="P45" i="36"/>
  <c r="Q47" i="36"/>
  <c r="Q55" i="36"/>
  <c r="P60" i="36"/>
  <c r="P64" i="36"/>
  <c r="P72" i="36"/>
  <c r="P41" i="36"/>
  <c r="Q45" i="36"/>
  <c r="Q37" i="38"/>
  <c r="P64" i="38"/>
  <c r="P66" i="38"/>
  <c r="Q39" i="38"/>
  <c r="Q72" i="38"/>
  <c r="Q67" i="38"/>
  <c r="Q40" i="38"/>
  <c r="P72" i="38"/>
  <c r="P38" i="38"/>
  <c r="P48" i="38"/>
  <c r="P67" i="38"/>
  <c r="Q23" i="38"/>
  <c r="Q31" i="38"/>
  <c r="Q24" i="38"/>
  <c r="Q32" i="38"/>
  <c r="Q43" i="38"/>
  <c r="Q59" i="38"/>
  <c r="Q71" i="38"/>
  <c r="Q69" i="38"/>
  <c r="P22" i="37"/>
  <c r="P26" i="37"/>
  <c r="P70" i="37"/>
  <c r="P63" i="37"/>
  <c r="Q70" i="37"/>
  <c r="P54" i="37"/>
  <c r="P60" i="37"/>
  <c r="P44" i="37"/>
  <c r="Q36" i="37"/>
  <c r="Q34" i="37"/>
  <c r="Q46" i="37"/>
  <c r="Q49" i="37"/>
  <c r="Q44" i="37"/>
  <c r="Q64" i="37"/>
  <c r="Q66" i="37"/>
  <c r="Q69" i="37"/>
  <c r="P28" i="37"/>
  <c r="P32" i="37"/>
  <c r="P36" i="37"/>
  <c r="P40" i="37"/>
  <c r="P52" i="37"/>
  <c r="Q63" i="37"/>
  <c r="Q58" i="37"/>
  <c r="P67" i="37"/>
  <c r="P22" i="36"/>
  <c r="P31" i="36"/>
  <c r="Q42" i="36"/>
  <c r="P52" i="36"/>
  <c r="P56" i="36"/>
  <c r="Q63" i="36"/>
  <c r="P30" i="36"/>
  <c r="Q60" i="36"/>
  <c r="P28" i="36"/>
  <c r="Q37" i="36"/>
  <c r="P48" i="36"/>
  <c r="Q51" i="36"/>
  <c r="P35" i="36"/>
  <c r="Q69" i="36"/>
  <c r="P43" i="36"/>
  <c r="Q22" i="36"/>
  <c r="Q21" i="36"/>
  <c r="Q23" i="36"/>
  <c r="Q28" i="36"/>
  <c r="P44" i="36"/>
  <c r="Q49" i="36"/>
  <c r="P57" i="36"/>
  <c r="P61" i="36"/>
  <c r="P65" i="36"/>
  <c r="P69" i="36"/>
  <c r="Q43" i="36"/>
  <c r="Q70" i="36"/>
  <c r="Q19" i="38"/>
  <c r="Q36" i="38"/>
  <c r="P59" i="38"/>
  <c r="P69" i="38"/>
  <c r="Q46" i="38"/>
  <c r="Q51" i="38"/>
  <c r="Q65" i="38"/>
  <c r="Q48" i="38"/>
  <c r="P45" i="38"/>
  <c r="P40" i="38"/>
  <c r="P49" i="38"/>
  <c r="P70" i="38"/>
  <c r="Q25" i="38"/>
  <c r="Q33" i="38"/>
  <c r="Q26" i="38"/>
  <c r="Q54" i="38"/>
  <c r="Q52" i="38"/>
  <c r="Q58" i="38"/>
  <c r="Q66" i="38"/>
  <c r="P19" i="37"/>
  <c r="P23" i="37"/>
  <c r="P27" i="37"/>
  <c r="P45" i="37"/>
  <c r="P59" i="37"/>
  <c r="Q71" i="37"/>
  <c r="P55" i="37"/>
  <c r="P61" i="37"/>
  <c r="P71" i="37"/>
  <c r="Q40" i="37"/>
  <c r="Q38" i="37"/>
  <c r="Q31" i="37"/>
  <c r="Q41" i="37"/>
  <c r="Q50" i="37"/>
  <c r="Q51" i="37"/>
  <c r="Q65" i="37"/>
  <c r="Q67" i="37"/>
  <c r="P46" i="37"/>
  <c r="P29" i="37"/>
  <c r="P33" i="37"/>
  <c r="P37" i="37"/>
  <c r="P41" i="37"/>
  <c r="P53" i="37"/>
  <c r="Q44" i="38"/>
  <c r="Q62" i="38"/>
  <c r="P41" i="38"/>
  <c r="Q21" i="38"/>
  <c r="Q57" i="38"/>
  <c r="P20" i="37"/>
  <c r="Q60" i="37"/>
  <c r="Q32" i="37"/>
  <c r="Q47" i="37"/>
  <c r="P73" i="37"/>
  <c r="P38" i="37"/>
  <c r="Q55" i="37"/>
  <c r="P19" i="36"/>
  <c r="P37" i="36"/>
  <c r="Q71" i="36"/>
  <c r="P70" i="36"/>
  <c r="P68" i="36"/>
  <c r="Q36" i="36"/>
  <c r="P71" i="36"/>
  <c r="Q66" i="36"/>
  <c r="Q30" i="36"/>
  <c r="Q31" i="36"/>
  <c r="Q50" i="36"/>
  <c r="P59" i="36"/>
  <c r="P67" i="36"/>
  <c r="Q46" i="36"/>
  <c r="J66" i="32"/>
  <c r="J67" i="31"/>
  <c r="J71" i="29"/>
  <c r="J70" i="28"/>
  <c r="J66" i="28"/>
  <c r="J69" i="26"/>
  <c r="J67" i="25"/>
  <c r="J71" i="20"/>
  <c r="J70" i="19"/>
  <c r="J72" i="18"/>
  <c r="J64" i="18"/>
  <c r="J66" i="17"/>
  <c r="S68" i="13"/>
  <c r="J68" i="12"/>
  <c r="J65" i="11"/>
  <c r="J67" i="10"/>
  <c r="J71" i="5"/>
  <c r="J70" i="7"/>
  <c r="D23" i="16"/>
  <c r="S65" i="35"/>
  <c r="J64" i="28"/>
  <c r="S65" i="20"/>
  <c r="S65" i="17"/>
  <c r="J70" i="11"/>
  <c r="S65" i="5"/>
  <c r="J71" i="32"/>
  <c r="J64" i="32"/>
  <c r="J68" i="31"/>
  <c r="S66" i="29"/>
  <c r="J72" i="28"/>
  <c r="S70" i="26"/>
  <c r="S69" i="26"/>
  <c r="J68" i="25"/>
  <c r="J68" i="20"/>
  <c r="S66" i="19"/>
  <c r="S71" i="18"/>
  <c r="S71" i="17"/>
  <c r="S71" i="13"/>
  <c r="J64" i="13"/>
  <c r="S68" i="12"/>
  <c r="J68" i="11"/>
  <c r="J68" i="10"/>
  <c r="J68" i="5"/>
  <c r="J69" i="7"/>
  <c r="J70" i="35"/>
  <c r="S71" i="32"/>
  <c r="S73" i="29"/>
  <c r="S65" i="26"/>
  <c r="S72" i="19"/>
  <c r="S64" i="17"/>
  <c r="S65" i="11"/>
  <c r="S72" i="7"/>
  <c r="J67" i="32"/>
  <c r="J71" i="31"/>
  <c r="J64" i="31"/>
  <c r="S65" i="29"/>
  <c r="J65" i="28"/>
  <c r="S71" i="26"/>
  <c r="S71" i="25"/>
  <c r="S64" i="25"/>
  <c r="S68" i="20"/>
  <c r="S68" i="19"/>
  <c r="S67" i="18"/>
  <c r="J65" i="17"/>
  <c r="J67" i="13"/>
  <c r="J71" i="12"/>
  <c r="S70" i="11"/>
  <c r="J72" i="10"/>
  <c r="J64" i="10"/>
  <c r="S68" i="5"/>
  <c r="J66" i="7"/>
  <c r="J66" i="35"/>
  <c r="S66" i="32"/>
  <c r="S69" i="29"/>
  <c r="S64" i="26"/>
  <c r="S70" i="19"/>
  <c r="S68" i="17"/>
  <c r="S66" i="11"/>
  <c r="S70" i="7"/>
  <c r="J68" i="7"/>
  <c r="J71" i="18"/>
  <c r="J66" i="10"/>
  <c r="S67" i="32"/>
  <c r="S70" i="29"/>
  <c r="J68" i="28"/>
  <c r="S66" i="26"/>
  <c r="J73" i="25"/>
  <c r="J70" i="20"/>
  <c r="J64" i="20"/>
  <c r="S69" i="19"/>
  <c r="J69" i="18"/>
  <c r="S67" i="17"/>
  <c r="S67" i="13"/>
  <c r="S66" i="12"/>
  <c r="J71" i="11"/>
  <c r="J71" i="10"/>
  <c r="S70" i="5"/>
  <c r="J64" i="5"/>
  <c r="S67" i="35"/>
  <c r="S72" i="31"/>
  <c r="J64" i="25"/>
  <c r="S72" i="12"/>
  <c r="S64" i="10"/>
  <c r="J69" i="32"/>
  <c r="S72" i="29"/>
  <c r="S64" i="28"/>
  <c r="J67" i="20"/>
  <c r="J72" i="17"/>
  <c r="S65" i="13"/>
  <c r="J65" i="10"/>
  <c r="S70" i="35"/>
  <c r="S68" i="28"/>
  <c r="J70" i="12"/>
  <c r="Q47" i="38"/>
  <c r="Q27" i="38"/>
  <c r="P43" i="37"/>
  <c r="Q53" i="37"/>
  <c r="P36" i="36"/>
  <c r="Q35" i="36"/>
  <c r="P34" i="36"/>
  <c r="Q48" i="36"/>
  <c r="Q44" i="36"/>
  <c r="S71" i="31"/>
  <c r="S69" i="28"/>
  <c r="J72" i="20"/>
  <c r="J65" i="18"/>
  <c r="J67" i="12"/>
  <c r="S64" i="5"/>
  <c r="J73" i="28"/>
  <c r="S69" i="18"/>
  <c r="S70" i="32"/>
  <c r="J72" i="29"/>
  <c r="S68" i="26"/>
  <c r="S72" i="20"/>
  <c r="S69" i="17"/>
  <c r="S68" i="11"/>
  <c r="S71" i="7"/>
  <c r="J69" i="31"/>
  <c r="S69" i="20"/>
  <c r="S69" i="5"/>
  <c r="S67" i="31"/>
  <c r="J72" i="26"/>
  <c r="S67" i="20"/>
  <c r="J71" i="17"/>
  <c r="S64" i="12"/>
  <c r="S67" i="5"/>
  <c r="J73" i="32"/>
  <c r="S66" i="20"/>
  <c r="S66" i="5"/>
  <c r="P63" i="38"/>
  <c r="Q73" i="38"/>
  <c r="P50" i="38"/>
  <c r="Q28" i="38"/>
  <c r="P57" i="38"/>
  <c r="P24" i="37"/>
  <c r="P49" i="37"/>
  <c r="Q37" i="37"/>
  <c r="Q45" i="37"/>
  <c r="P47" i="37"/>
  <c r="P50" i="37"/>
  <c r="Q54" i="37"/>
  <c r="P20" i="36"/>
  <c r="Q39" i="36"/>
  <c r="P47" i="36"/>
  <c r="P50" i="36"/>
  <c r="P32" i="36"/>
  <c r="P49" i="36"/>
  <c r="P51" i="36"/>
  <c r="Q73" i="36"/>
  <c r="Q25" i="36"/>
  <c r="Q32" i="36"/>
  <c r="P54" i="36"/>
  <c r="P62" i="36"/>
  <c r="P26" i="36"/>
  <c r="J70" i="32"/>
  <c r="S64" i="32"/>
  <c r="S69" i="31"/>
  <c r="J67" i="29"/>
  <c r="S71" i="28"/>
  <c r="J70" i="26"/>
  <c r="J68" i="26"/>
  <c r="S69" i="25"/>
  <c r="J66" i="20"/>
  <c r="J67" i="19"/>
  <c r="J70" i="18"/>
  <c r="J70" i="17"/>
  <c r="J71" i="13"/>
  <c r="S64" i="13"/>
  <c r="J69" i="12"/>
  <c r="S69" i="11"/>
  <c r="S65" i="10"/>
  <c r="J66" i="5"/>
  <c r="S69" i="7"/>
  <c r="S72" i="35"/>
  <c r="J73" i="29"/>
  <c r="J65" i="26"/>
  <c r="S67" i="19"/>
  <c r="J72" i="13"/>
  <c r="J69" i="11"/>
  <c r="S65" i="7"/>
  <c r="S72" i="32"/>
  <c r="J73" i="31"/>
  <c r="S65" i="31"/>
  <c r="S67" i="29"/>
  <c r="S66" i="28"/>
  <c r="J71" i="26"/>
  <c r="J71" i="25"/>
  <c r="J66" i="25"/>
  <c r="J69" i="20"/>
  <c r="J69" i="19"/>
  <c r="J68" i="18"/>
  <c r="S66" i="17"/>
  <c r="J70" i="13"/>
  <c r="S70" i="12"/>
  <c r="S72" i="11"/>
  <c r="S64" i="11"/>
  <c r="S69" i="10"/>
  <c r="J69" i="5"/>
  <c r="S68" i="7"/>
  <c r="J69" i="35"/>
  <c r="S68" i="32"/>
  <c r="S64" i="29"/>
  <c r="S70" i="25"/>
  <c r="S64" i="19"/>
  <c r="J69" i="13"/>
  <c r="S72" i="10"/>
  <c r="J64" i="7"/>
  <c r="J65" i="32"/>
  <c r="J72" i="31"/>
  <c r="S71" i="29"/>
  <c r="J64" i="29"/>
  <c r="S67" i="28"/>
  <c r="S67" i="26"/>
  <c r="S73" i="25"/>
  <c r="S70" i="20"/>
  <c r="J72" i="19"/>
  <c r="J64" i="19"/>
  <c r="S68" i="18"/>
  <c r="J69" i="17"/>
  <c r="J65" i="13"/>
  <c r="S67" i="12"/>
  <c r="J67" i="11"/>
  <c r="S71" i="10"/>
  <c r="S71" i="5"/>
  <c r="J72" i="7"/>
  <c r="S64" i="7"/>
  <c r="J65" i="35"/>
  <c r="S65" i="32"/>
  <c r="J71" i="28"/>
  <c r="J72" i="25"/>
  <c r="J66" i="19"/>
  <c r="S66" i="13"/>
  <c r="S70" i="10"/>
  <c r="S66" i="7"/>
  <c r="J72" i="11"/>
  <c r="J64" i="11"/>
  <c r="S68" i="10"/>
  <c r="J65" i="5"/>
  <c r="S66" i="35"/>
  <c r="J65" i="29"/>
  <c r="S65" i="25"/>
  <c r="S69" i="13"/>
  <c r="J67" i="35"/>
  <c r="S73" i="31"/>
  <c r="S68" i="29"/>
  <c r="S67" i="7"/>
  <c r="J69" i="28"/>
  <c r="S65" i="18"/>
  <c r="S69" i="35"/>
  <c r="J65" i="31"/>
  <c r="S73" i="28"/>
  <c r="J69" i="25"/>
  <c r="J71" i="19"/>
  <c r="J64" i="17"/>
  <c r="J66" i="11"/>
  <c r="J67" i="5"/>
  <c r="S64" i="35"/>
  <c r="S66" i="18"/>
  <c r="J69" i="10"/>
  <c r="Q53" i="38"/>
  <c r="Q35" i="37"/>
  <c r="P34" i="37"/>
  <c r="P53" i="36"/>
  <c r="Q57" i="36"/>
  <c r="Q26" i="36"/>
  <c r="P58" i="36"/>
  <c r="J70" i="29"/>
  <c r="J67" i="26"/>
  <c r="S64" i="20"/>
  <c r="J68" i="17"/>
  <c r="S71" i="11"/>
  <c r="J72" i="5"/>
  <c r="J68" i="35"/>
  <c r="S69" i="12"/>
  <c r="S69" i="32"/>
  <c r="S70" i="28"/>
  <c r="S66" i="25"/>
  <c r="S71" i="19"/>
  <c r="S64" i="18"/>
  <c r="J66" i="12"/>
  <c r="S72" i="5"/>
  <c r="J64" i="35"/>
  <c r="S72" i="17"/>
  <c r="J72" i="32"/>
  <c r="J66" i="29"/>
  <c r="J64" i="26"/>
  <c r="J68" i="19"/>
  <c r="S72" i="13"/>
  <c r="S67" i="11"/>
  <c r="J65" i="7"/>
  <c r="S64" i="31"/>
  <c r="S70" i="17"/>
  <c r="S68" i="35"/>
  <c r="P53" i="38"/>
  <c r="Q49" i="38"/>
  <c r="P73" i="38"/>
  <c r="Q34" i="38"/>
  <c r="P68" i="37"/>
  <c r="P56" i="37"/>
  <c r="Q29" i="37"/>
  <c r="Q52" i="37"/>
  <c r="P30" i="37"/>
  <c r="P65" i="37"/>
  <c r="Q56" i="37"/>
  <c r="P21" i="36"/>
  <c r="Q40" i="36"/>
  <c r="Q64" i="36"/>
  <c r="Q59" i="36"/>
  <c r="P33" i="36"/>
  <c r="Q52" i="36"/>
  <c r="Q67" i="36"/>
  <c r="P25" i="36"/>
  <c r="Q29" i="36"/>
  <c r="P38" i="36"/>
  <c r="P39" i="36"/>
  <c r="P63" i="36"/>
  <c r="P40" i="36"/>
  <c r="S73" i="32"/>
  <c r="S70" i="31"/>
  <c r="J66" i="31"/>
  <c r="J68" i="29"/>
  <c r="J67" i="28"/>
  <c r="S73" i="26"/>
  <c r="J70" i="25"/>
  <c r="S68" i="25"/>
  <c r="J65" i="20"/>
  <c r="J65" i="19"/>
  <c r="J66" i="18"/>
  <c r="J67" i="17"/>
  <c r="S70" i="13"/>
  <c r="S71" i="12"/>
  <c r="J66" i="26"/>
  <c r="S70" i="18"/>
  <c r="S65" i="12"/>
  <c r="J71" i="7"/>
  <c r="S68" i="31"/>
  <c r="J65" i="25"/>
  <c r="S71" i="35"/>
  <c r="P46" i="38"/>
  <c r="Q64" i="38"/>
  <c r="P57" i="37"/>
  <c r="P62" i="37"/>
  <c r="Q68" i="36"/>
  <c r="Q61" i="36"/>
  <c r="Q53" i="36"/>
  <c r="Q27" i="36"/>
  <c r="P66" i="36"/>
  <c r="J68" i="32"/>
  <c r="J69" i="29"/>
  <c r="S72" i="25"/>
  <c r="S65" i="19"/>
  <c r="J68" i="13"/>
  <c r="J70" i="10"/>
  <c r="J67" i="7"/>
  <c r="S71" i="20"/>
  <c r="J70" i="5"/>
  <c r="S66" i="31"/>
  <c r="S65" i="28"/>
  <c r="S72" i="18"/>
  <c r="J66" i="13"/>
  <c r="S66" i="10"/>
  <c r="J72" i="35"/>
  <c r="J73" i="26"/>
  <c r="J64" i="12"/>
  <c r="J70" i="31"/>
  <c r="S72" i="28"/>
  <c r="S67" i="25"/>
  <c r="J67" i="18"/>
  <c r="J72" i="12"/>
  <c r="S67" i="10"/>
  <c r="J71" i="35"/>
  <c r="S72" i="26"/>
  <c r="J65" i="12"/>
  <c r="K64" i="34" l="1"/>
  <c r="L64" i="34"/>
  <c r="L65" i="33"/>
  <c r="K65" i="33"/>
  <c r="L70" i="33"/>
  <c r="K70" i="33"/>
  <c r="L65" i="34"/>
  <c r="K65" i="34"/>
  <c r="K64" i="33"/>
  <c r="L64" i="33"/>
  <c r="K71" i="34"/>
  <c r="L71" i="34"/>
  <c r="K42" i="36"/>
  <c r="L42" i="36"/>
  <c r="S74" i="36"/>
  <c r="K33" i="36"/>
  <c r="L33" i="36"/>
  <c r="K52" i="36"/>
  <c r="L52" i="36"/>
  <c r="K68" i="36"/>
  <c r="L68" i="36"/>
  <c r="K26" i="37"/>
  <c r="L26" i="37"/>
  <c r="L72" i="33"/>
  <c r="K72" i="33"/>
  <c r="L66" i="34"/>
  <c r="K66" i="34"/>
  <c r="K68" i="34"/>
  <c r="L68" i="34"/>
  <c r="L69" i="33"/>
  <c r="K69" i="33"/>
  <c r="L67" i="33"/>
  <c r="K67" i="33"/>
  <c r="K71" i="33"/>
  <c r="L71" i="33"/>
  <c r="L69" i="34"/>
  <c r="K69" i="34"/>
  <c r="L67" i="34"/>
  <c r="K67" i="34"/>
  <c r="L70" i="34"/>
  <c r="K70" i="34"/>
  <c r="L73" i="7"/>
  <c r="K73" i="7"/>
  <c r="L73" i="5"/>
  <c r="K73" i="5"/>
  <c r="L73" i="10"/>
  <c r="K73" i="10"/>
  <c r="K73" i="20"/>
  <c r="L73" i="20"/>
  <c r="L38" i="36"/>
  <c r="K38" i="36"/>
  <c r="K26" i="36"/>
  <c r="L26" i="36"/>
  <c r="K27" i="36"/>
  <c r="L27" i="36"/>
  <c r="K24" i="36"/>
  <c r="L24" i="36"/>
  <c r="L40" i="36"/>
  <c r="K40" i="36"/>
  <c r="K29" i="36"/>
  <c r="L29" i="36"/>
  <c r="K43" i="36"/>
  <c r="L43" i="36"/>
  <c r="L47" i="36"/>
  <c r="K47" i="36"/>
  <c r="L51" i="36"/>
  <c r="K51" i="36"/>
  <c r="L55" i="36"/>
  <c r="K55" i="36"/>
  <c r="L59" i="36"/>
  <c r="K59" i="36"/>
  <c r="L63" i="36"/>
  <c r="K63" i="36"/>
  <c r="L67" i="36"/>
  <c r="K67" i="36"/>
  <c r="L71" i="36"/>
  <c r="K71" i="36"/>
  <c r="K21" i="37"/>
  <c r="L21" i="37"/>
  <c r="K68" i="37"/>
  <c r="L68" i="37"/>
  <c r="K34" i="37"/>
  <c r="L34" i="37"/>
  <c r="K27" i="37"/>
  <c r="L27" i="37"/>
  <c r="K35" i="37"/>
  <c r="L35" i="37"/>
  <c r="K46" i="37"/>
  <c r="L46" i="37"/>
  <c r="L18" i="37"/>
  <c r="K18" i="37"/>
  <c r="K25" i="37"/>
  <c r="L25" i="37"/>
  <c r="K37" i="37"/>
  <c r="L37" i="37"/>
  <c r="K60" i="37"/>
  <c r="L60" i="37"/>
  <c r="L42" i="37"/>
  <c r="K42" i="37"/>
  <c r="K32" i="37"/>
  <c r="L32" i="37"/>
  <c r="K40" i="37"/>
  <c r="L40" i="37"/>
  <c r="K62" i="37"/>
  <c r="L62" i="37"/>
  <c r="K45" i="37"/>
  <c r="L45" i="37"/>
  <c r="K53" i="37"/>
  <c r="L53" i="37"/>
  <c r="K61" i="37"/>
  <c r="L61" i="37"/>
  <c r="K69" i="37"/>
  <c r="L69" i="37"/>
  <c r="K22" i="38"/>
  <c r="L22" i="38"/>
  <c r="L26" i="38"/>
  <c r="K26" i="38"/>
  <c r="L30" i="38"/>
  <c r="K30" i="38"/>
  <c r="L34" i="38"/>
  <c r="K34" i="38"/>
  <c r="L38" i="38"/>
  <c r="K38" i="38"/>
  <c r="K42" i="38"/>
  <c r="L42" i="38"/>
  <c r="K43" i="38"/>
  <c r="L43" i="38"/>
  <c r="L51" i="38"/>
  <c r="K51" i="38"/>
  <c r="L55" i="38"/>
  <c r="K55" i="38"/>
  <c r="L59" i="38"/>
  <c r="K59" i="38"/>
  <c r="L63" i="38"/>
  <c r="K63" i="38"/>
  <c r="L67" i="38"/>
  <c r="K67" i="38"/>
  <c r="L71" i="38"/>
  <c r="K71" i="38"/>
  <c r="K72" i="34"/>
  <c r="L72" i="34"/>
  <c r="K28" i="36"/>
  <c r="L28" i="36"/>
  <c r="L48" i="36"/>
  <c r="K48" i="36"/>
  <c r="L64" i="36"/>
  <c r="K64" i="36"/>
  <c r="K54" i="37"/>
  <c r="L54" i="37"/>
  <c r="L19" i="37"/>
  <c r="K19" i="37"/>
  <c r="K29" i="37"/>
  <c r="L29" i="37"/>
  <c r="S74" i="37"/>
  <c r="L43" i="37"/>
  <c r="K43" i="37"/>
  <c r="K70" i="37"/>
  <c r="L70" i="37"/>
  <c r="K47" i="37"/>
  <c r="L47" i="37"/>
  <c r="L55" i="37"/>
  <c r="K55" i="37"/>
  <c r="L63" i="37"/>
  <c r="K63" i="37"/>
  <c r="L71" i="37"/>
  <c r="K71" i="37"/>
  <c r="K45" i="38"/>
  <c r="L45" i="38"/>
  <c r="L23" i="38"/>
  <c r="K23" i="38"/>
  <c r="L27" i="38"/>
  <c r="K27" i="38"/>
  <c r="L31" i="38"/>
  <c r="K31" i="38"/>
  <c r="L35" i="38"/>
  <c r="K35" i="38"/>
  <c r="L39" i="38"/>
  <c r="K39" i="38"/>
  <c r="K46" i="38"/>
  <c r="L46" i="38"/>
  <c r="K47" i="38"/>
  <c r="L47" i="38"/>
  <c r="K44" i="38"/>
  <c r="L44" i="38"/>
  <c r="L52" i="38"/>
  <c r="K52" i="38"/>
  <c r="L56" i="38"/>
  <c r="K56" i="38"/>
  <c r="L60" i="38"/>
  <c r="K60" i="38"/>
  <c r="L64" i="38"/>
  <c r="K64" i="38"/>
  <c r="L68" i="38"/>
  <c r="K68" i="38"/>
  <c r="L72" i="38"/>
  <c r="K72" i="38"/>
  <c r="L73" i="19"/>
  <c r="K73" i="19"/>
  <c r="K31" i="36"/>
  <c r="L31" i="36"/>
  <c r="K60" i="36"/>
  <c r="L60" i="36"/>
  <c r="L72" i="36"/>
  <c r="K72" i="36"/>
  <c r="L73" i="35"/>
  <c r="K73" i="35"/>
  <c r="L73" i="11"/>
  <c r="K73" i="11"/>
  <c r="L73" i="12"/>
  <c r="K73" i="12"/>
  <c r="L73" i="18"/>
  <c r="K73" i="18"/>
  <c r="K30" i="36"/>
  <c r="L30" i="36"/>
  <c r="K19" i="36"/>
  <c r="L19" i="36"/>
  <c r="L35" i="36"/>
  <c r="K35" i="36"/>
  <c r="K32" i="36"/>
  <c r="L32" i="36"/>
  <c r="K21" i="36"/>
  <c r="L21" i="36"/>
  <c r="K37" i="36"/>
  <c r="L37" i="36"/>
  <c r="L45" i="36"/>
  <c r="K45" i="36"/>
  <c r="L49" i="36"/>
  <c r="K49" i="36"/>
  <c r="L53" i="36"/>
  <c r="K53" i="36"/>
  <c r="L57" i="36"/>
  <c r="K57" i="36"/>
  <c r="L61" i="36"/>
  <c r="K61" i="36"/>
  <c r="L65" i="36"/>
  <c r="K65" i="36"/>
  <c r="L69" i="36"/>
  <c r="K69" i="36"/>
  <c r="L73" i="36"/>
  <c r="K73" i="36"/>
  <c r="K33" i="37"/>
  <c r="L33" i="37"/>
  <c r="K52" i="37"/>
  <c r="L52" i="37"/>
  <c r="K31" i="37"/>
  <c r="L31" i="37"/>
  <c r="K39" i="37"/>
  <c r="L39" i="37"/>
  <c r="K64" i="37"/>
  <c r="L64" i="37"/>
  <c r="K22" i="37"/>
  <c r="L22" i="37"/>
  <c r="K41" i="37"/>
  <c r="L41" i="37"/>
  <c r="K28" i="37"/>
  <c r="L28" i="37"/>
  <c r="K36" i="37"/>
  <c r="L36" i="37"/>
  <c r="K48" i="37"/>
  <c r="L48" i="37"/>
  <c r="K49" i="37"/>
  <c r="L49" i="37"/>
  <c r="K57" i="37"/>
  <c r="L57" i="37"/>
  <c r="K65" i="37"/>
  <c r="L65" i="37"/>
  <c r="K73" i="37"/>
  <c r="L73" i="37"/>
  <c r="S74" i="38"/>
  <c r="L18" i="38"/>
  <c r="K18" i="38"/>
  <c r="L20" i="38"/>
  <c r="K20" i="38"/>
  <c r="L24" i="38"/>
  <c r="K24" i="38"/>
  <c r="L28" i="38"/>
  <c r="K28" i="38"/>
  <c r="L32" i="38"/>
  <c r="K32" i="38"/>
  <c r="L36" i="38"/>
  <c r="K36" i="38"/>
  <c r="L40" i="38"/>
  <c r="K40" i="38"/>
  <c r="L48" i="38"/>
  <c r="K48" i="38"/>
  <c r="L49" i="38"/>
  <c r="K49" i="38"/>
  <c r="L53" i="38"/>
  <c r="K53" i="38"/>
  <c r="L57" i="38"/>
  <c r="K57" i="38"/>
  <c r="L61" i="38"/>
  <c r="K61" i="38"/>
  <c r="L65" i="38"/>
  <c r="K65" i="38"/>
  <c r="L69" i="38"/>
  <c r="K69" i="38"/>
  <c r="L73" i="38"/>
  <c r="K73" i="38"/>
  <c r="K18" i="36"/>
  <c r="L18" i="36"/>
  <c r="K44" i="36"/>
  <c r="L44" i="36"/>
  <c r="L56" i="36"/>
  <c r="K56" i="36"/>
  <c r="K23" i="37"/>
  <c r="L23" i="37"/>
  <c r="L66" i="33"/>
  <c r="K66" i="33"/>
  <c r="K68" i="33"/>
  <c r="L68" i="33"/>
  <c r="K73" i="33"/>
  <c r="L73" i="33"/>
  <c r="L73" i="34"/>
  <c r="K73" i="34"/>
  <c r="K73" i="13"/>
  <c r="L73" i="13"/>
  <c r="K73" i="17"/>
  <c r="L73" i="17"/>
  <c r="K34" i="36"/>
  <c r="L34" i="36"/>
  <c r="K22" i="36"/>
  <c r="L22" i="36"/>
  <c r="K23" i="36"/>
  <c r="L23" i="36"/>
  <c r="K39" i="36"/>
  <c r="L39" i="36"/>
  <c r="K20" i="36"/>
  <c r="L20" i="36"/>
  <c r="K36" i="36"/>
  <c r="L36" i="36"/>
  <c r="K25" i="36"/>
  <c r="L25" i="36"/>
  <c r="K41" i="36"/>
  <c r="L41" i="36"/>
  <c r="K46" i="36"/>
  <c r="L46" i="36"/>
  <c r="L50" i="36"/>
  <c r="K50" i="36"/>
  <c r="L54" i="36"/>
  <c r="K54" i="36"/>
  <c r="L58" i="36"/>
  <c r="K58" i="36"/>
  <c r="K62" i="36"/>
  <c r="L62" i="36"/>
  <c r="L66" i="36"/>
  <c r="K66" i="36"/>
  <c r="L70" i="36"/>
  <c r="K70" i="36"/>
  <c r="L20" i="37"/>
  <c r="K20" i="37"/>
  <c r="K58" i="37"/>
  <c r="L58" i="37"/>
  <c r="K30" i="37"/>
  <c r="L30" i="37"/>
  <c r="K66" i="37"/>
  <c r="L66" i="37"/>
  <c r="K72" i="37"/>
  <c r="L72" i="37"/>
  <c r="K24" i="37"/>
  <c r="L24" i="37"/>
  <c r="K50" i="37"/>
  <c r="L50" i="37"/>
  <c r="K38" i="37"/>
  <c r="L38" i="37"/>
  <c r="K56" i="37"/>
  <c r="L56" i="37"/>
  <c r="L44" i="37"/>
  <c r="K44" i="37"/>
  <c r="L51" i="37"/>
  <c r="K51" i="37"/>
  <c r="K59" i="37"/>
  <c r="L59" i="37"/>
  <c r="L67" i="37"/>
  <c r="K67" i="37"/>
  <c r="L19" i="38"/>
  <c r="K19" i="38"/>
  <c r="K21" i="38"/>
  <c r="L21" i="38"/>
  <c r="L25" i="38"/>
  <c r="K25" i="38"/>
  <c r="L29" i="38"/>
  <c r="K29" i="38"/>
  <c r="L33" i="38"/>
  <c r="K33" i="38"/>
  <c r="L37" i="38"/>
  <c r="K37" i="38"/>
  <c r="L41" i="38"/>
  <c r="K41" i="38"/>
  <c r="L50" i="38"/>
  <c r="K50" i="38"/>
  <c r="L54" i="38"/>
  <c r="K54" i="38"/>
  <c r="L58" i="38"/>
  <c r="K58" i="38"/>
  <c r="L62" i="38"/>
  <c r="K62" i="38"/>
  <c r="L66" i="38"/>
  <c r="K66" i="38"/>
  <c r="L70" i="38"/>
  <c r="K70" i="38"/>
  <c r="N65" i="10"/>
  <c r="O65" i="10"/>
  <c r="O71" i="12"/>
  <c r="N71" i="12"/>
  <c r="N65" i="26"/>
  <c r="O65" i="26"/>
  <c r="O71" i="28"/>
  <c r="N65" i="32"/>
  <c r="O65" i="32"/>
  <c r="O69" i="31"/>
  <c r="N73" i="5"/>
  <c r="O68" i="33"/>
  <c r="O73" i="12"/>
  <c r="O14" i="37"/>
  <c r="R19" i="38"/>
  <c r="I19" i="38" s="1"/>
  <c r="R58" i="38"/>
  <c r="I58" i="38" s="1"/>
  <c r="R57" i="38"/>
  <c r="I57" i="38" s="1"/>
  <c r="R34" i="38"/>
  <c r="I34" i="38" s="1"/>
  <c r="R32" i="38"/>
  <c r="I32" i="38" s="1"/>
  <c r="R30" i="38"/>
  <c r="I30" i="38" s="1"/>
  <c r="R28" i="38"/>
  <c r="I28" i="38" s="1"/>
  <c r="R26" i="38"/>
  <c r="I26" i="38" s="1"/>
  <c r="R24" i="38"/>
  <c r="I24" i="38" s="1"/>
  <c r="R20" i="38"/>
  <c r="I20" i="38" s="1"/>
  <c r="R21" i="38"/>
  <c r="I21" i="38" s="1"/>
  <c r="R33" i="38"/>
  <c r="I33" i="38" s="1"/>
  <c r="R31" i="38"/>
  <c r="I31" i="38" s="1"/>
  <c r="R29" i="38"/>
  <c r="I29" i="38" s="1"/>
  <c r="R27" i="38"/>
  <c r="I27" i="38" s="1"/>
  <c r="R25" i="38"/>
  <c r="I25" i="38" s="1"/>
  <c r="R23" i="38"/>
  <c r="I23" i="38" s="1"/>
  <c r="R22" i="38"/>
  <c r="I22" i="38" s="1"/>
  <c r="R73" i="38"/>
  <c r="I73" i="38" s="1"/>
  <c r="R65" i="38"/>
  <c r="I65" i="38" s="1"/>
  <c r="R70" i="38"/>
  <c r="I70" i="38" s="1"/>
  <c r="R67" i="38"/>
  <c r="I67" i="38" s="1"/>
  <c r="R62" i="38"/>
  <c r="I62" i="38" s="1"/>
  <c r="R51" i="38"/>
  <c r="I51" i="38" s="1"/>
  <c r="R50" i="38"/>
  <c r="I50" i="38" s="1"/>
  <c r="R49" i="38"/>
  <c r="I49" i="38" s="1"/>
  <c r="R48" i="38"/>
  <c r="I48" i="38" s="1"/>
  <c r="R47" i="38"/>
  <c r="I47" i="38" s="1"/>
  <c r="R44" i="38"/>
  <c r="I44" i="38" s="1"/>
  <c r="R41" i="38"/>
  <c r="I41" i="38" s="1"/>
  <c r="R40" i="38"/>
  <c r="I40" i="38" s="1"/>
  <c r="R39" i="38"/>
  <c r="I39" i="38" s="1"/>
  <c r="R38" i="38"/>
  <c r="I38" i="38" s="1"/>
  <c r="R43" i="38"/>
  <c r="I43" i="38" s="1"/>
  <c r="R46" i="38"/>
  <c r="I46" i="38" s="1"/>
  <c r="R42" i="38"/>
  <c r="I42" i="38" s="1"/>
  <c r="R45" i="38"/>
  <c r="I45" i="38" s="1"/>
  <c r="R72" i="38"/>
  <c r="I72" i="38" s="1"/>
  <c r="R56" i="38"/>
  <c r="I56" i="38" s="1"/>
  <c r="R55" i="38"/>
  <c r="I55" i="38" s="1"/>
  <c r="R68" i="38"/>
  <c r="I68" i="38" s="1"/>
  <c r="R53" i="38"/>
  <c r="I53" i="38" s="1"/>
  <c r="R69" i="38"/>
  <c r="I69" i="38" s="1"/>
  <c r="R61" i="38"/>
  <c r="I61" i="38" s="1"/>
  <c r="R66" i="38"/>
  <c r="I66" i="38" s="1"/>
  <c r="R71" i="38"/>
  <c r="I71" i="38" s="1"/>
  <c r="R63" i="38"/>
  <c r="I63" i="38" s="1"/>
  <c r="R60" i="38"/>
  <c r="I60" i="38" s="1"/>
  <c r="R59" i="38"/>
  <c r="I59" i="38" s="1"/>
  <c r="R64" i="38"/>
  <c r="I64" i="38" s="1"/>
  <c r="R52" i="38"/>
  <c r="I52" i="38" s="1"/>
  <c r="R36" i="38"/>
  <c r="I36" i="38" s="1"/>
  <c r="R37" i="38"/>
  <c r="I37" i="38" s="1"/>
  <c r="R35" i="38"/>
  <c r="I35" i="38" s="1"/>
  <c r="R54" i="38"/>
  <c r="I54" i="38" s="1"/>
  <c r="R67" i="37"/>
  <c r="I67" i="37" s="1"/>
  <c r="R65" i="37"/>
  <c r="I65" i="37" s="1"/>
  <c r="R53" i="37"/>
  <c r="I53" i="37" s="1"/>
  <c r="R52" i="37"/>
  <c r="I52" i="37" s="1"/>
  <c r="R51" i="37"/>
  <c r="I51" i="37" s="1"/>
  <c r="R50" i="37"/>
  <c r="I50" i="37" s="1"/>
  <c r="R41" i="37"/>
  <c r="I41" i="37" s="1"/>
  <c r="R40" i="37"/>
  <c r="I40" i="37" s="1"/>
  <c r="R39" i="37"/>
  <c r="I39" i="37" s="1"/>
  <c r="R38" i="37"/>
  <c r="I38" i="37" s="1"/>
  <c r="R37" i="37"/>
  <c r="I37" i="37" s="1"/>
  <c r="R36" i="37"/>
  <c r="I36" i="37" s="1"/>
  <c r="R35" i="37"/>
  <c r="I35" i="37" s="1"/>
  <c r="R34" i="37"/>
  <c r="I34" i="37" s="1"/>
  <c r="R33" i="37"/>
  <c r="I33" i="37" s="1"/>
  <c r="R32" i="37"/>
  <c r="I32" i="37" s="1"/>
  <c r="R31" i="37"/>
  <c r="I31" i="37" s="1"/>
  <c r="R30" i="37"/>
  <c r="I30" i="37" s="1"/>
  <c r="R29" i="37"/>
  <c r="I29" i="37" s="1"/>
  <c r="R28" i="37"/>
  <c r="I28" i="37" s="1"/>
  <c r="R48" i="37"/>
  <c r="I48" i="37" s="1"/>
  <c r="R47" i="37"/>
  <c r="I47" i="37" s="1"/>
  <c r="R46" i="37"/>
  <c r="I46" i="37" s="1"/>
  <c r="R73" i="37"/>
  <c r="I73" i="37" s="1"/>
  <c r="R58" i="37"/>
  <c r="I58" i="37" s="1"/>
  <c r="R62" i="37"/>
  <c r="I62" i="37" s="1"/>
  <c r="R71" i="37"/>
  <c r="I71" i="37" s="1"/>
  <c r="R44" i="37"/>
  <c r="I44" i="37" s="1"/>
  <c r="R42" i="37"/>
  <c r="I42" i="37" s="1"/>
  <c r="R43" i="37"/>
  <c r="I43" i="37" s="1"/>
  <c r="R61" i="37"/>
  <c r="I61" i="37" s="1"/>
  <c r="R60" i="37"/>
  <c r="I60" i="37" s="1"/>
  <c r="R66" i="37"/>
  <c r="I66" i="37" s="1"/>
  <c r="R56" i="37"/>
  <c r="I56" i="37" s="1"/>
  <c r="R55" i="37"/>
  <c r="I55" i="37" s="1"/>
  <c r="R54" i="37"/>
  <c r="I54" i="37" s="1"/>
  <c r="R64" i="37"/>
  <c r="I64" i="37" s="1"/>
  <c r="R49" i="37"/>
  <c r="I49" i="37" s="1"/>
  <c r="R59" i="37"/>
  <c r="I59" i="37" s="1"/>
  <c r="R63" i="37"/>
  <c r="I63" i="37" s="1"/>
  <c r="R72" i="37"/>
  <c r="I72" i="37" s="1"/>
  <c r="R57" i="37"/>
  <c r="I57" i="37" s="1"/>
  <c r="R45" i="37"/>
  <c r="I45" i="37" s="1"/>
  <c r="R70" i="37"/>
  <c r="I70" i="37" s="1"/>
  <c r="R69" i="37"/>
  <c r="I69" i="37" s="1"/>
  <c r="R68" i="37"/>
  <c r="I68" i="37" s="1"/>
  <c r="R41" i="36"/>
  <c r="I41" i="36" s="1"/>
  <c r="R40" i="36"/>
  <c r="I40" i="36" s="1"/>
  <c r="R26" i="36"/>
  <c r="I26" i="36" s="1"/>
  <c r="R69" i="36"/>
  <c r="I69" i="36" s="1"/>
  <c r="R72" i="36"/>
  <c r="I72" i="36" s="1"/>
  <c r="R67" i="36"/>
  <c r="I67" i="36" s="1"/>
  <c r="R66" i="36"/>
  <c r="I66" i="36" s="1"/>
  <c r="R65" i="36"/>
  <c r="I65" i="36" s="1"/>
  <c r="R64" i="36"/>
  <c r="I64" i="36" s="1"/>
  <c r="R63" i="36"/>
  <c r="I63" i="36" s="1"/>
  <c r="R62" i="36"/>
  <c r="I62" i="36" s="1"/>
  <c r="R61" i="36"/>
  <c r="I61" i="36" s="1"/>
  <c r="R60" i="36"/>
  <c r="I60" i="36" s="1"/>
  <c r="R59" i="36"/>
  <c r="I59" i="36" s="1"/>
  <c r="R58" i="36"/>
  <c r="I58" i="36" s="1"/>
  <c r="R57" i="36"/>
  <c r="I57" i="36" s="1"/>
  <c r="R39" i="36"/>
  <c r="I39" i="36" s="1"/>
  <c r="R54" i="36"/>
  <c r="I54" i="36" s="1"/>
  <c r="R44" i="36"/>
  <c r="I44" i="36" s="1"/>
  <c r="R45" i="36"/>
  <c r="I45" i="36" s="1"/>
  <c r="R38" i="36"/>
  <c r="I38" i="36" s="1"/>
  <c r="R29" i="36"/>
  <c r="I29" i="36" s="1"/>
  <c r="R25" i="36"/>
  <c r="I25" i="36" s="1"/>
  <c r="R43" i="36"/>
  <c r="I43" i="36" s="1"/>
  <c r="R34" i="36"/>
  <c r="I34" i="36" s="1"/>
  <c r="R51" i="36"/>
  <c r="I51" i="36" s="1"/>
  <c r="R35" i="36"/>
  <c r="I35" i="36" s="1"/>
  <c r="R71" i="36"/>
  <c r="I71" i="36" s="1"/>
  <c r="R49" i="36"/>
  <c r="I49" i="36" s="1"/>
  <c r="R48" i="36"/>
  <c r="I48" i="36" s="1"/>
  <c r="R42" i="36"/>
  <c r="I42" i="36" s="1"/>
  <c r="R33" i="36"/>
  <c r="I33" i="36" s="1"/>
  <c r="R32" i="36"/>
  <c r="I32" i="36" s="1"/>
  <c r="R28" i="36"/>
  <c r="I28" i="36" s="1"/>
  <c r="R24" i="36"/>
  <c r="I24" i="36" s="1"/>
  <c r="R68" i="36"/>
  <c r="I68" i="36" s="1"/>
  <c r="R50" i="36"/>
  <c r="I50" i="36" s="1"/>
  <c r="R30" i="36"/>
  <c r="I30" i="36" s="1"/>
  <c r="R73" i="36"/>
  <c r="I73" i="36" s="1"/>
  <c r="R70" i="36"/>
  <c r="I70" i="36" s="1"/>
  <c r="R47" i="36"/>
  <c r="I47" i="36" s="1"/>
  <c r="R56" i="36"/>
  <c r="I56" i="36" s="1"/>
  <c r="R55" i="36"/>
  <c r="I55" i="36" s="1"/>
  <c r="R53" i="36"/>
  <c r="I53" i="36" s="1"/>
  <c r="R52" i="36"/>
  <c r="I52" i="36" s="1"/>
  <c r="R46" i="36"/>
  <c r="I46" i="36" s="1"/>
  <c r="R37" i="36"/>
  <c r="I37" i="36" s="1"/>
  <c r="R36" i="36"/>
  <c r="I36" i="36" s="1"/>
  <c r="R31" i="36"/>
  <c r="I31" i="36" s="1"/>
  <c r="R27" i="36"/>
  <c r="I27" i="36" s="1"/>
  <c r="R21" i="36"/>
  <c r="I21" i="36" s="1"/>
  <c r="R20" i="36"/>
  <c r="I20" i="36" s="1"/>
  <c r="R22" i="36"/>
  <c r="I22" i="36" s="1"/>
  <c r="R23" i="36"/>
  <c r="I23" i="36" s="1"/>
  <c r="R19" i="36"/>
  <c r="I19" i="36" s="1"/>
  <c r="N94" i="2"/>
  <c r="O94" i="2"/>
  <c r="O72" i="20"/>
  <c r="N64" i="20"/>
  <c r="N65" i="17"/>
  <c r="N71" i="11"/>
  <c r="O71" i="5"/>
  <c r="O64" i="10"/>
  <c r="O64" i="12"/>
  <c r="O65" i="18"/>
  <c r="O71" i="20"/>
  <c r="N65" i="25"/>
  <c r="N71" i="26"/>
  <c r="N65" i="28"/>
  <c r="O70" i="28"/>
  <c r="O64" i="17"/>
  <c r="O68" i="20"/>
  <c r="O64" i="26"/>
  <c r="N69" i="32"/>
  <c r="N64" i="18"/>
  <c r="O71" i="25"/>
  <c r="O72" i="28"/>
  <c r="N68" i="32"/>
  <c r="N73" i="32"/>
  <c r="O64" i="32"/>
  <c r="K71" i="32"/>
  <c r="L71" i="32"/>
  <c r="K73" i="32"/>
  <c r="L73" i="32"/>
  <c r="K72" i="32"/>
  <c r="L72" i="32"/>
  <c r="K70" i="32"/>
  <c r="L70" i="32"/>
  <c r="L69" i="32"/>
  <c r="K69" i="32"/>
  <c r="K66" i="32"/>
  <c r="L66" i="32"/>
  <c r="L65" i="32"/>
  <c r="K65" i="32"/>
  <c r="K68" i="32"/>
  <c r="L68" i="32"/>
  <c r="K67" i="32"/>
  <c r="L67" i="32"/>
  <c r="O67" i="32"/>
  <c r="L64" i="32"/>
  <c r="K64" i="32"/>
  <c r="N72" i="31"/>
  <c r="O73" i="31"/>
  <c r="O64" i="31"/>
  <c r="O65" i="31"/>
  <c r="K72" i="31"/>
  <c r="L72" i="31"/>
  <c r="K71" i="31"/>
  <c r="L71" i="31"/>
  <c r="K73" i="31"/>
  <c r="L73" i="31"/>
  <c r="K70" i="31"/>
  <c r="L70" i="31"/>
  <c r="K66" i="31"/>
  <c r="L66" i="31"/>
  <c r="L69" i="31"/>
  <c r="K69" i="31"/>
  <c r="K68" i="31"/>
  <c r="L68" i="31"/>
  <c r="L65" i="31"/>
  <c r="K65" i="31"/>
  <c r="K67" i="31"/>
  <c r="L67" i="31"/>
  <c r="O67" i="31"/>
  <c r="L64" i="31"/>
  <c r="K64" i="31"/>
  <c r="O73" i="29"/>
  <c r="N72" i="29"/>
  <c r="N68" i="29"/>
  <c r="O64" i="29"/>
  <c r="K72" i="29"/>
  <c r="L72" i="29"/>
  <c r="K71" i="29"/>
  <c r="L71" i="29"/>
  <c r="K73" i="29"/>
  <c r="L73" i="29"/>
  <c r="K70" i="29"/>
  <c r="L70" i="29"/>
  <c r="L69" i="29"/>
  <c r="K69" i="29"/>
  <c r="L65" i="29"/>
  <c r="K65" i="29"/>
  <c r="K68" i="29"/>
  <c r="L68" i="29"/>
  <c r="K66" i="29"/>
  <c r="L66" i="29"/>
  <c r="K67" i="29"/>
  <c r="L67" i="29"/>
  <c r="O67" i="29"/>
  <c r="L64" i="29"/>
  <c r="K64" i="29"/>
  <c r="N73" i="28"/>
  <c r="N69" i="28"/>
  <c r="K73" i="28"/>
  <c r="L73" i="28"/>
  <c r="K72" i="28"/>
  <c r="L72" i="28"/>
  <c r="K71" i="28"/>
  <c r="L71" i="28"/>
  <c r="K70" i="28"/>
  <c r="L70" i="28"/>
  <c r="N68" i="28"/>
  <c r="K66" i="28"/>
  <c r="L66" i="28"/>
  <c r="L69" i="28"/>
  <c r="K69" i="28"/>
  <c r="K68" i="28"/>
  <c r="L68" i="28"/>
  <c r="L65" i="28"/>
  <c r="K65" i="28"/>
  <c r="L67" i="28"/>
  <c r="K67" i="28"/>
  <c r="O67" i="28"/>
  <c r="O64" i="28"/>
  <c r="L64" i="28"/>
  <c r="K64" i="28"/>
  <c r="N73" i="26"/>
  <c r="N70" i="26"/>
  <c r="O69" i="26"/>
  <c r="N68" i="26"/>
  <c r="N66" i="26"/>
  <c r="K71" i="26"/>
  <c r="L71" i="26"/>
  <c r="K73" i="26"/>
  <c r="L73" i="26"/>
  <c r="K72" i="26"/>
  <c r="L72" i="26"/>
  <c r="K70" i="26"/>
  <c r="L70" i="26"/>
  <c r="K68" i="26"/>
  <c r="L68" i="26"/>
  <c r="K66" i="26"/>
  <c r="L66" i="26"/>
  <c r="L69" i="26"/>
  <c r="K69" i="26"/>
  <c r="L65" i="26"/>
  <c r="K65" i="26"/>
  <c r="L67" i="26"/>
  <c r="K67" i="26"/>
  <c r="O67" i="26"/>
  <c r="L64" i="26"/>
  <c r="K64" i="26"/>
  <c r="N73" i="25"/>
  <c r="O72" i="25"/>
  <c r="N68" i="25"/>
  <c r="N66" i="25"/>
  <c r="K73" i="25"/>
  <c r="L73" i="25"/>
  <c r="K72" i="25"/>
  <c r="L72" i="25"/>
  <c r="K71" i="25"/>
  <c r="L71" i="25"/>
  <c r="K70" i="25"/>
  <c r="L70" i="25"/>
  <c r="K66" i="25"/>
  <c r="L66" i="25"/>
  <c r="L65" i="25"/>
  <c r="K65" i="25"/>
  <c r="L68" i="25"/>
  <c r="K68" i="25"/>
  <c r="L69" i="25"/>
  <c r="K69" i="25"/>
  <c r="K67" i="25"/>
  <c r="L67" i="25"/>
  <c r="O67" i="25"/>
  <c r="O64" i="25"/>
  <c r="L64" i="25"/>
  <c r="K64" i="25"/>
  <c r="O69" i="20"/>
  <c r="O65" i="20"/>
  <c r="N66" i="20"/>
  <c r="L71" i="20"/>
  <c r="K71" i="20"/>
  <c r="L70" i="20"/>
  <c r="K70" i="20"/>
  <c r="K72" i="20"/>
  <c r="L72" i="20"/>
  <c r="N70" i="20"/>
  <c r="L69" i="20"/>
  <c r="K69" i="20"/>
  <c r="L65" i="20"/>
  <c r="K65" i="20"/>
  <c r="L68" i="20"/>
  <c r="K68" i="20"/>
  <c r="K66" i="20"/>
  <c r="L66" i="20"/>
  <c r="K67" i="20"/>
  <c r="L67" i="20"/>
  <c r="O67" i="20"/>
  <c r="L64" i="20"/>
  <c r="K64" i="20"/>
  <c r="O72" i="19"/>
  <c r="O71" i="19"/>
  <c r="O69" i="19"/>
  <c r="N66" i="19"/>
  <c r="O65" i="19"/>
  <c r="O64" i="19"/>
  <c r="L71" i="19"/>
  <c r="K71" i="19"/>
  <c r="L70" i="19"/>
  <c r="K70" i="19"/>
  <c r="K72" i="19"/>
  <c r="L72" i="19"/>
  <c r="N70" i="19"/>
  <c r="O68" i="19"/>
  <c r="K66" i="19"/>
  <c r="L66" i="19"/>
  <c r="L69" i="19"/>
  <c r="K69" i="19"/>
  <c r="L65" i="19"/>
  <c r="K65" i="19"/>
  <c r="K68" i="19"/>
  <c r="L68" i="19"/>
  <c r="K67" i="19"/>
  <c r="L67" i="19"/>
  <c r="O67" i="19"/>
  <c r="L64" i="19"/>
  <c r="K64" i="19"/>
  <c r="O72" i="18"/>
  <c r="N71" i="18"/>
  <c r="N69" i="18"/>
  <c r="N68" i="18"/>
  <c r="L70" i="18"/>
  <c r="K70" i="18"/>
  <c r="L71" i="18"/>
  <c r="K71" i="18"/>
  <c r="K72" i="18"/>
  <c r="L72" i="18"/>
  <c r="N70" i="18"/>
  <c r="N66" i="18"/>
  <c r="L69" i="18"/>
  <c r="K69" i="18"/>
  <c r="L65" i="18"/>
  <c r="K65" i="18"/>
  <c r="K68" i="18"/>
  <c r="L68" i="18"/>
  <c r="K66" i="18"/>
  <c r="L66" i="18"/>
  <c r="K67" i="18"/>
  <c r="L67" i="18"/>
  <c r="O67" i="18"/>
  <c r="L64" i="18"/>
  <c r="K64" i="18"/>
  <c r="N72" i="17"/>
  <c r="N71" i="17"/>
  <c r="N69" i="17"/>
  <c r="N68" i="17"/>
  <c r="N66" i="17"/>
  <c r="L71" i="17"/>
  <c r="K71" i="17"/>
  <c r="L70" i="17"/>
  <c r="K70" i="17"/>
  <c r="L72" i="17"/>
  <c r="K72" i="17"/>
  <c r="N70" i="17"/>
  <c r="K66" i="17"/>
  <c r="L66" i="17"/>
  <c r="L69" i="17"/>
  <c r="K69" i="17"/>
  <c r="K68" i="17"/>
  <c r="L68" i="17"/>
  <c r="L65" i="17"/>
  <c r="K65" i="17"/>
  <c r="L67" i="17"/>
  <c r="K67" i="17"/>
  <c r="O67" i="17"/>
  <c r="L64" i="17"/>
  <c r="K64" i="17"/>
  <c r="N66" i="13"/>
  <c r="K72" i="13"/>
  <c r="L72" i="13"/>
  <c r="L71" i="13"/>
  <c r="K71" i="13"/>
  <c r="O72" i="13"/>
  <c r="O71" i="13"/>
  <c r="N69" i="13"/>
  <c r="O70" i="13"/>
  <c r="N68" i="13"/>
  <c r="L70" i="13"/>
  <c r="K70" i="13"/>
  <c r="O64" i="13"/>
  <c r="O65" i="13"/>
  <c r="K66" i="13"/>
  <c r="L66" i="13"/>
  <c r="L69" i="13"/>
  <c r="K69" i="13"/>
  <c r="L65" i="13"/>
  <c r="K65" i="13"/>
  <c r="K68" i="13"/>
  <c r="L68" i="13"/>
  <c r="K67" i="13"/>
  <c r="L67" i="13"/>
  <c r="O67" i="13"/>
  <c r="L64" i="13"/>
  <c r="K64" i="13"/>
  <c r="O72" i="12"/>
  <c r="O69" i="12"/>
  <c r="N66" i="12"/>
  <c r="O65" i="12"/>
  <c r="L71" i="12"/>
  <c r="K71" i="12"/>
  <c r="L70" i="12"/>
  <c r="K70" i="12"/>
  <c r="K72" i="12"/>
  <c r="L72" i="12"/>
  <c r="N70" i="12"/>
  <c r="O68" i="12"/>
  <c r="L69" i="12"/>
  <c r="K69" i="12"/>
  <c r="L65" i="12"/>
  <c r="K65" i="12"/>
  <c r="K66" i="12"/>
  <c r="L66" i="12"/>
  <c r="L68" i="12"/>
  <c r="K68" i="12"/>
  <c r="K67" i="12"/>
  <c r="L67" i="12"/>
  <c r="O67" i="12"/>
  <c r="L64" i="12"/>
  <c r="K64" i="12"/>
  <c r="O72" i="11"/>
  <c r="O69" i="11"/>
  <c r="N66" i="11"/>
  <c r="N65" i="11"/>
  <c r="L71" i="11"/>
  <c r="K71" i="11"/>
  <c r="L70" i="11"/>
  <c r="K70" i="11"/>
  <c r="K72" i="11"/>
  <c r="L72" i="11"/>
  <c r="N70" i="11"/>
  <c r="O68" i="11"/>
  <c r="L69" i="11"/>
  <c r="K69" i="11"/>
  <c r="K68" i="11"/>
  <c r="L68" i="11"/>
  <c r="K66" i="11"/>
  <c r="L66" i="11"/>
  <c r="L65" i="11"/>
  <c r="K65" i="11"/>
  <c r="L67" i="11"/>
  <c r="K67" i="11"/>
  <c r="O67" i="11"/>
  <c r="O64" i="11"/>
  <c r="L64" i="11"/>
  <c r="K64" i="11"/>
  <c r="O72" i="10"/>
  <c r="N71" i="10"/>
  <c r="O69" i="10"/>
  <c r="N68" i="10"/>
  <c r="N66" i="10"/>
  <c r="L71" i="10"/>
  <c r="K71" i="10"/>
  <c r="L70" i="10"/>
  <c r="K70" i="10"/>
  <c r="L72" i="10"/>
  <c r="K72" i="10"/>
  <c r="N70" i="10"/>
  <c r="L69" i="10"/>
  <c r="K69" i="10"/>
  <c r="K68" i="10"/>
  <c r="L68" i="10"/>
  <c r="K66" i="10"/>
  <c r="L66" i="10"/>
  <c r="L65" i="10"/>
  <c r="K65" i="10"/>
  <c r="L67" i="10"/>
  <c r="K67" i="10"/>
  <c r="O67" i="10"/>
  <c r="L64" i="10"/>
  <c r="K64" i="10"/>
  <c r="O72" i="5"/>
  <c r="O69" i="5"/>
  <c r="O68" i="5"/>
  <c r="N66" i="5"/>
  <c r="O64" i="5"/>
  <c r="O65" i="5"/>
  <c r="L71" i="5"/>
  <c r="K71" i="5"/>
  <c r="L70" i="5"/>
  <c r="K70" i="5"/>
  <c r="K72" i="5"/>
  <c r="L72" i="5"/>
  <c r="N70" i="5"/>
  <c r="L69" i="5"/>
  <c r="K69" i="5"/>
  <c r="L65" i="5"/>
  <c r="K65" i="5"/>
  <c r="K68" i="5"/>
  <c r="L68" i="5"/>
  <c r="K66" i="5"/>
  <c r="L66" i="5"/>
  <c r="K67" i="5"/>
  <c r="L67" i="5"/>
  <c r="O67" i="5"/>
  <c r="K64" i="5"/>
  <c r="L64" i="5"/>
  <c r="O72" i="7"/>
  <c r="N71" i="7"/>
  <c r="O69" i="7"/>
  <c r="O67" i="7"/>
  <c r="N66" i="7"/>
  <c r="O65" i="7"/>
  <c r="K71" i="7"/>
  <c r="L71" i="7"/>
  <c r="L70" i="7"/>
  <c r="K70" i="7"/>
  <c r="L72" i="7"/>
  <c r="K72" i="7"/>
  <c r="O70" i="7"/>
  <c r="N64" i="7"/>
  <c r="L69" i="7"/>
  <c r="K69" i="7"/>
  <c r="K67" i="7"/>
  <c r="L67" i="7"/>
  <c r="K66" i="7"/>
  <c r="L66" i="7"/>
  <c r="K68" i="7"/>
  <c r="L68" i="7"/>
  <c r="K65" i="7"/>
  <c r="L65" i="7"/>
  <c r="O68" i="7"/>
  <c r="L64" i="7"/>
  <c r="K64" i="7"/>
  <c r="N72" i="35"/>
  <c r="N71" i="35"/>
  <c r="N69" i="35"/>
  <c r="N68" i="35"/>
  <c r="N66" i="35"/>
  <c r="L71" i="35"/>
  <c r="K71" i="35"/>
  <c r="L70" i="35"/>
  <c r="K70" i="35"/>
  <c r="K72" i="35"/>
  <c r="L72" i="35"/>
  <c r="N70" i="35"/>
  <c r="O64" i="35"/>
  <c r="O65" i="35"/>
  <c r="L65" i="35"/>
  <c r="K65" i="35"/>
  <c r="K68" i="35"/>
  <c r="L68" i="35"/>
  <c r="K66" i="35"/>
  <c r="L66" i="35"/>
  <c r="L69" i="35"/>
  <c r="K69" i="35"/>
  <c r="K67" i="35"/>
  <c r="L67" i="35"/>
  <c r="O67" i="35"/>
  <c r="L64" i="35"/>
  <c r="K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N31" i="35" s="1"/>
  <c r="M30" i="35"/>
  <c r="N30" i="35" s="1"/>
  <c r="M29" i="35"/>
  <c r="N29" i="35" s="1"/>
  <c r="M28" i="35"/>
  <c r="N28" i="35" s="1"/>
  <c r="M27" i="35"/>
  <c r="N27" i="35" s="1"/>
  <c r="M26" i="35"/>
  <c r="N26" i="35" s="1"/>
  <c r="M25" i="35"/>
  <c r="N25" i="35" s="1"/>
  <c r="M24" i="35"/>
  <c r="N24" i="35" s="1"/>
  <c r="M23" i="35"/>
  <c r="O23" i="35" s="1"/>
  <c r="M22" i="35"/>
  <c r="N22" i="35" s="1"/>
  <c r="M21" i="35"/>
  <c r="O21" i="35" s="1"/>
  <c r="M20" i="35"/>
  <c r="O20" i="35" s="1"/>
  <c r="M19" i="35"/>
  <c r="O19" i="35" s="1"/>
  <c r="Q18" i="35"/>
  <c r="P18" i="35"/>
  <c r="R18" i="35" s="1"/>
  <c r="I18" i="35" s="1"/>
  <c r="M18" i="35"/>
  <c r="O18" i="35" s="1"/>
  <c r="S17" i="35"/>
  <c r="Q17" i="35"/>
  <c r="P17" i="35"/>
  <c r="R17" i="35" s="1"/>
  <c r="I17" i="35" s="1"/>
  <c r="M17" i="35"/>
  <c r="N17" i="35" s="1"/>
  <c r="J17" i="35"/>
  <c r="L17" i="35" s="1"/>
  <c r="S16" i="35"/>
  <c r="Q16" i="35"/>
  <c r="P16" i="35"/>
  <c r="R16" i="35" s="1"/>
  <c r="I16" i="35" s="1"/>
  <c r="M16" i="35"/>
  <c r="O16" i="35" s="1"/>
  <c r="J16" i="35"/>
  <c r="L16" i="35" s="1"/>
  <c r="S15" i="35"/>
  <c r="Q15" i="35"/>
  <c r="P15" i="35"/>
  <c r="R15" i="35" s="1"/>
  <c r="I15" i="35" s="1"/>
  <c r="M15" i="35"/>
  <c r="O15" i="35" s="1"/>
  <c r="J15" i="35"/>
  <c r="K15" i="35" s="1"/>
  <c r="S14" i="35"/>
  <c r="Q14" i="35"/>
  <c r="P14" i="35"/>
  <c r="R14" i="35" s="1"/>
  <c r="I14" i="35" s="1"/>
  <c r="M14" i="35"/>
  <c r="O14" i="35" s="1"/>
  <c r="J14" i="35"/>
  <c r="L14" i="35" s="1"/>
  <c r="S13" i="35"/>
  <c r="Q13" i="35"/>
  <c r="P13" i="35"/>
  <c r="R13" i="35" s="1"/>
  <c r="I13" i="35" s="1"/>
  <c r="M13" i="35"/>
  <c r="O13" i="35" s="1"/>
  <c r="J13" i="35"/>
  <c r="L13" i="35" s="1"/>
  <c r="S12" i="35"/>
  <c r="Q12" i="35"/>
  <c r="P12" i="35"/>
  <c r="R12" i="35" s="1"/>
  <c r="I12" i="35" s="1"/>
  <c r="M12" i="35"/>
  <c r="O12" i="35" s="1"/>
  <c r="J12" i="35"/>
  <c r="L12" i="35" s="1"/>
  <c r="S11" i="35"/>
  <c r="Q11" i="35"/>
  <c r="P11" i="35"/>
  <c r="R11" i="35" s="1"/>
  <c r="I11" i="35" s="1"/>
  <c r="M11" i="35"/>
  <c r="O11" i="35" s="1"/>
  <c r="J11" i="35"/>
  <c r="K11" i="35" s="1"/>
  <c r="S10" i="35"/>
  <c r="Q10" i="35"/>
  <c r="P10" i="35"/>
  <c r="R10" i="35" s="1"/>
  <c r="I10" i="35" s="1"/>
  <c r="M10" i="35"/>
  <c r="O10" i="35" s="1"/>
  <c r="J10" i="35"/>
  <c r="L10" i="35" s="1"/>
  <c r="S9" i="35"/>
  <c r="Q9" i="35"/>
  <c r="P9" i="35"/>
  <c r="R9" i="35" s="1"/>
  <c r="I9" i="35" s="1"/>
  <c r="M9" i="35"/>
  <c r="O9" i="35" s="1"/>
  <c r="J9" i="35"/>
  <c r="L9" i="35" s="1"/>
  <c r="S8" i="35"/>
  <c r="Q8" i="35"/>
  <c r="P8" i="35"/>
  <c r="R8" i="35" s="1"/>
  <c r="I8" i="35" s="1"/>
  <c r="M8" i="35"/>
  <c r="O8" i="35" s="1"/>
  <c r="J8" i="35"/>
  <c r="L8" i="35" s="1"/>
  <c r="S7" i="35"/>
  <c r="Q7" i="35"/>
  <c r="P7" i="35"/>
  <c r="R7" i="35" s="1"/>
  <c r="I7" i="35" s="1"/>
  <c r="M7" i="35"/>
  <c r="O7" i="35" s="1"/>
  <c r="J7" i="35"/>
  <c r="K7" i="35" s="1"/>
  <c r="S6" i="35"/>
  <c r="Q6" i="35"/>
  <c r="P6" i="35"/>
  <c r="R6" i="35" s="1"/>
  <c r="I6" i="35" s="1"/>
  <c r="M6" i="35"/>
  <c r="N6" i="35" s="1"/>
  <c r="J6" i="35"/>
  <c r="K6" i="35" s="1"/>
  <c r="S5" i="35"/>
  <c r="Q5" i="35"/>
  <c r="P5" i="35"/>
  <c r="R5" i="35" s="1"/>
  <c r="I5" i="35" s="1"/>
  <c r="M5" i="35"/>
  <c r="O5" i="35" s="1"/>
  <c r="J5" i="35"/>
  <c r="L5" i="35" s="1"/>
  <c r="H5" i="35"/>
  <c r="H6" i="35" s="1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93" i="2"/>
  <c r="I93" i="2"/>
  <c r="J93" i="2"/>
  <c r="K93" i="2"/>
  <c r="L93" i="2"/>
  <c r="M93" i="2"/>
  <c r="P93" i="2"/>
  <c r="Q93" i="2"/>
  <c r="R93" i="2"/>
  <c r="S93" i="2"/>
  <c r="H92" i="2"/>
  <c r="I92" i="2"/>
  <c r="J92" i="2"/>
  <c r="K92" i="2"/>
  <c r="L92" i="2"/>
  <c r="M92" i="2"/>
  <c r="P92" i="2"/>
  <c r="Q92" i="2"/>
  <c r="R92" i="2"/>
  <c r="S92" i="2"/>
  <c r="S33" i="35"/>
  <c r="S60" i="35"/>
  <c r="J27" i="35"/>
  <c r="J59" i="35"/>
  <c r="J54" i="35"/>
  <c r="S52" i="35"/>
  <c r="S62" i="35"/>
  <c r="J61" i="35"/>
  <c r="S56" i="35"/>
  <c r="J23" i="35"/>
  <c r="J55" i="35"/>
  <c r="S50" i="35"/>
  <c r="S31" i="35"/>
  <c r="J19" i="35"/>
  <c r="S21" i="35"/>
  <c r="J37" i="35"/>
  <c r="S32" i="35"/>
  <c r="S63" i="35"/>
  <c r="J30" i="35"/>
  <c r="J58" i="35"/>
  <c r="J57" i="35"/>
  <c r="S47" i="35"/>
  <c r="S38" i="35"/>
  <c r="J32" i="35"/>
  <c r="S57" i="35"/>
  <c r="J56" i="35"/>
  <c r="J50" i="35"/>
  <c r="J31" i="35"/>
  <c r="J38" i="35"/>
  <c r="J49" i="35"/>
  <c r="S44" i="35"/>
  <c r="S19" i="35"/>
  <c r="J43" i="35"/>
  <c r="J21" i="35"/>
  <c r="J36" i="35"/>
  <c r="J46" i="35"/>
  <c r="J45" i="35"/>
  <c r="S40" i="35"/>
  <c r="S30" i="35"/>
  <c r="J39" i="35"/>
  <c r="S34" i="35"/>
  <c r="S41" i="35"/>
  <c r="S35" i="35"/>
  <c r="S53" i="35"/>
  <c r="J20" i="35"/>
  <c r="J48" i="35"/>
  <c r="S22" i="35"/>
  <c r="S24" i="35"/>
  <c r="J60" i="35"/>
  <c r="S25" i="35"/>
  <c r="S55" i="35"/>
  <c r="J24" i="35"/>
  <c r="S29" i="35"/>
  <c r="J25" i="35"/>
  <c r="S59" i="35"/>
  <c r="J28" i="35"/>
  <c r="S37" i="35"/>
  <c r="S58" i="35"/>
  <c r="J29" i="35"/>
  <c r="Q25" i="37"/>
  <c r="Q23" i="37"/>
  <c r="Q22" i="37"/>
  <c r="Q26" i="37"/>
  <c r="Q27" i="37"/>
  <c r="Q20" i="37"/>
  <c r="Q21" i="37"/>
  <c r="Q19" i="37"/>
  <c r="Q24" i="37"/>
  <c r="S49" i="35"/>
  <c r="S27" i="35"/>
  <c r="J44" i="35"/>
  <c r="S43" i="35"/>
  <c r="S54" i="35"/>
  <c r="J41" i="35"/>
  <c r="J51" i="35"/>
  <c r="S45" i="35"/>
  <c r="S20" i="35"/>
  <c r="J40" i="35"/>
  <c r="S39" i="35"/>
  <c r="S26" i="35"/>
  <c r="J34" i="35"/>
  <c r="S36" i="35"/>
  <c r="J62" i="35"/>
  <c r="J53" i="35"/>
  <c r="S48" i="35"/>
  <c r="S23" i="35"/>
  <c r="J47" i="35"/>
  <c r="S42" i="35"/>
  <c r="S28" i="35"/>
  <c r="J33" i="35"/>
  <c r="S51" i="35"/>
  <c r="S18" i="35"/>
  <c r="J35" i="35"/>
  <c r="J42" i="35"/>
  <c r="S46" i="35"/>
  <c r="J26" i="35"/>
  <c r="S61" i="35"/>
  <c r="J22" i="35"/>
  <c r="J18" i="35"/>
  <c r="J63" i="35"/>
  <c r="J52" i="35"/>
  <c r="R24" i="37" l="1"/>
  <c r="I24" i="37" s="1"/>
  <c r="R19" i="37"/>
  <c r="I19" i="37" s="1"/>
  <c r="R21" i="37"/>
  <c r="I21" i="37" s="1"/>
  <c r="R20" i="37"/>
  <c r="I20" i="37" s="1"/>
  <c r="R27" i="37"/>
  <c r="I27" i="37" s="1"/>
  <c r="R26" i="37"/>
  <c r="I26" i="37" s="1"/>
  <c r="R22" i="37"/>
  <c r="I22" i="37" s="1"/>
  <c r="R23" i="37"/>
  <c r="I23" i="37" s="1"/>
  <c r="R25" i="37"/>
  <c r="I25" i="37" s="1"/>
  <c r="N93" i="2"/>
  <c r="AP5" i="4"/>
  <c r="O93" i="2"/>
  <c r="N10" i="35"/>
  <c r="N19" i="35"/>
  <c r="N23" i="35"/>
  <c r="O22" i="35"/>
  <c r="N21" i="35"/>
  <c r="N5" i="35"/>
  <c r="N16" i="35"/>
  <c r="O17" i="35"/>
  <c r="N14" i="35"/>
  <c r="N12" i="35"/>
  <c r="N13" i="35"/>
  <c r="N9" i="35"/>
  <c r="N8" i="35"/>
  <c r="O6" i="35"/>
  <c r="N7" i="35"/>
  <c r="N11" i="35"/>
  <c r="N15" i="35"/>
  <c r="N18" i="35"/>
  <c r="N20" i="35"/>
  <c r="O24" i="35"/>
  <c r="O26" i="35"/>
  <c r="O28" i="35"/>
  <c r="O30" i="35"/>
  <c r="O25" i="35"/>
  <c r="O27" i="35"/>
  <c r="O29" i="35"/>
  <c r="O31" i="35"/>
  <c r="L15" i="35"/>
  <c r="K16" i="35"/>
  <c r="L6" i="35"/>
  <c r="K8" i="35"/>
  <c r="L11" i="35"/>
  <c r="K12" i="35"/>
  <c r="L7" i="35"/>
  <c r="K9" i="35"/>
  <c r="K13" i="35"/>
  <c r="K17" i="35"/>
  <c r="K10" i="35"/>
  <c r="K14" i="35"/>
  <c r="K33" i="35"/>
  <c r="L33" i="35"/>
  <c r="K18" i="35"/>
  <c r="L18" i="35"/>
  <c r="L19" i="35"/>
  <c r="K19" i="35"/>
  <c r="L20" i="35"/>
  <c r="K20" i="35"/>
  <c r="L21" i="35"/>
  <c r="K21" i="35"/>
  <c r="L22" i="35"/>
  <c r="K22" i="35"/>
  <c r="L23" i="35"/>
  <c r="K23" i="35"/>
  <c r="L24" i="35"/>
  <c r="K24" i="35"/>
  <c r="K25" i="35"/>
  <c r="L25" i="35"/>
  <c r="K26" i="35"/>
  <c r="L26" i="35"/>
  <c r="L27" i="35"/>
  <c r="K27" i="35"/>
  <c r="L28" i="35"/>
  <c r="K28" i="35"/>
  <c r="K29" i="35"/>
  <c r="L29" i="35"/>
  <c r="K30" i="35"/>
  <c r="L30" i="35"/>
  <c r="L31" i="35"/>
  <c r="K31" i="35"/>
  <c r="K32" i="35"/>
  <c r="L32" i="35"/>
  <c r="K34" i="35"/>
  <c r="L34" i="35"/>
  <c r="K35" i="35"/>
  <c r="L35" i="35"/>
  <c r="K36" i="35"/>
  <c r="L36" i="35"/>
  <c r="K37" i="35"/>
  <c r="L37" i="35"/>
  <c r="K38" i="35"/>
  <c r="L38" i="35"/>
  <c r="K39" i="35"/>
  <c r="L39" i="35"/>
  <c r="K40" i="35"/>
  <c r="L40" i="35"/>
  <c r="K41" i="35"/>
  <c r="L41" i="35"/>
  <c r="K42" i="35"/>
  <c r="L42" i="35"/>
  <c r="K43" i="35"/>
  <c r="L43" i="35"/>
  <c r="K44" i="35"/>
  <c r="L44" i="35"/>
  <c r="K45" i="35"/>
  <c r="L45" i="35"/>
  <c r="K46" i="35"/>
  <c r="L46" i="35"/>
  <c r="K47" i="35"/>
  <c r="L47" i="35"/>
  <c r="K48" i="35"/>
  <c r="L48" i="35"/>
  <c r="K49" i="35"/>
  <c r="L49" i="35"/>
  <c r="K50" i="35"/>
  <c r="L50" i="35"/>
  <c r="K51" i="35"/>
  <c r="L51" i="35"/>
  <c r="K52" i="35"/>
  <c r="L52" i="35"/>
  <c r="K53" i="35"/>
  <c r="L53" i="35"/>
  <c r="K54" i="35"/>
  <c r="L54" i="35"/>
  <c r="K55" i="35"/>
  <c r="L55" i="35"/>
  <c r="K56" i="35"/>
  <c r="L56" i="35"/>
  <c r="K57" i="35"/>
  <c r="L57" i="35"/>
  <c r="K58" i="35"/>
  <c r="L58" i="35"/>
  <c r="K59" i="35"/>
  <c r="L59" i="35"/>
  <c r="K60" i="35"/>
  <c r="L60" i="35"/>
  <c r="K61" i="35"/>
  <c r="L61" i="35"/>
  <c r="K62" i="35"/>
  <c r="L62" i="35"/>
  <c r="K63" i="35"/>
  <c r="L63" i="35"/>
  <c r="K5" i="35"/>
  <c r="S74" i="35"/>
  <c r="O36" i="35"/>
  <c r="N36" i="35"/>
  <c r="O42" i="35"/>
  <c r="N42" i="35"/>
  <c r="O44" i="35"/>
  <c r="N44" i="35"/>
  <c r="O46" i="35"/>
  <c r="N46" i="35"/>
  <c r="O48" i="35"/>
  <c r="N48" i="35"/>
  <c r="O50" i="35"/>
  <c r="N50" i="35"/>
  <c r="O52" i="35"/>
  <c r="N52" i="35"/>
  <c r="O54" i="35"/>
  <c r="N54" i="35"/>
  <c r="O56" i="35"/>
  <c r="N56" i="35"/>
  <c r="O58" i="35"/>
  <c r="N58" i="35"/>
  <c r="O60" i="35"/>
  <c r="N60" i="35"/>
  <c r="O62" i="35"/>
  <c r="N62" i="35"/>
  <c r="O38" i="35"/>
  <c r="N38" i="35"/>
  <c r="O32" i="35"/>
  <c r="N32" i="35"/>
  <c r="O34" i="35"/>
  <c r="N34" i="35"/>
  <c r="O40" i="35"/>
  <c r="N40" i="35"/>
  <c r="O33" i="35"/>
  <c r="N33" i="35"/>
  <c r="O35" i="35"/>
  <c r="N35" i="35"/>
  <c r="O37" i="35"/>
  <c r="N37" i="35"/>
  <c r="O39" i="35"/>
  <c r="N39" i="35"/>
  <c r="O41" i="35"/>
  <c r="N41" i="35"/>
  <c r="O43" i="35"/>
  <c r="N43" i="35"/>
  <c r="O45" i="35"/>
  <c r="N45" i="35"/>
  <c r="O47" i="35"/>
  <c r="N47" i="35"/>
  <c r="O49" i="35"/>
  <c r="N49" i="35"/>
  <c r="O51" i="35"/>
  <c r="N51" i="35"/>
  <c r="O53" i="35"/>
  <c r="N53" i="35"/>
  <c r="O55" i="35"/>
  <c r="N55" i="35"/>
  <c r="O57" i="35"/>
  <c r="N57" i="35"/>
  <c r="O59" i="35"/>
  <c r="N59" i="35"/>
  <c r="O61" i="35"/>
  <c r="N61" i="35"/>
  <c r="O63" i="35"/>
  <c r="N63" i="35"/>
  <c r="O92" i="2"/>
  <c r="N92" i="2"/>
  <c r="L12" i="16"/>
  <c r="K12" i="16"/>
  <c r="P68" i="35"/>
  <c r="Q53" i="35"/>
  <c r="Q27" i="35"/>
  <c r="Q50" i="35"/>
  <c r="P24" i="35"/>
  <c r="Q55" i="35"/>
  <c r="Q39" i="35"/>
  <c r="P32" i="35"/>
  <c r="Q37" i="35"/>
  <c r="Q66" i="35"/>
  <c r="Q30" i="35"/>
  <c r="Q46" i="35"/>
  <c r="P59" i="35"/>
  <c r="Q42" i="35"/>
  <c r="P37" i="35"/>
  <c r="P23" i="35"/>
  <c r="P66" i="35"/>
  <c r="Q57" i="35"/>
  <c r="Q65" i="35"/>
  <c r="P45" i="35"/>
  <c r="Q36" i="35"/>
  <c r="Q73" i="35"/>
  <c r="P70" i="35"/>
  <c r="Q19" i="35"/>
  <c r="P39" i="35"/>
  <c r="Q63" i="35"/>
  <c r="Q29" i="35"/>
  <c r="P47" i="35"/>
  <c r="P29" i="35"/>
  <c r="Q62" i="35"/>
  <c r="P54" i="35"/>
  <c r="Q23" i="35"/>
  <c r="P65" i="35"/>
  <c r="Q41" i="35"/>
  <c r="P25" i="35"/>
  <c r="P52" i="35"/>
  <c r="Q22" i="35"/>
  <c r="P35" i="35"/>
  <c r="P51" i="35"/>
  <c r="Q28" i="35"/>
  <c r="Q67" i="35"/>
  <c r="Q40" i="35"/>
  <c r="P62" i="35"/>
  <c r="P69" i="35"/>
  <c r="Q32" i="35"/>
  <c r="P30" i="35"/>
  <c r="P20" i="35"/>
  <c r="P73" i="35"/>
  <c r="Q69" i="35"/>
  <c r="Q26" i="35"/>
  <c r="Q51" i="35"/>
  <c r="Q48" i="35"/>
  <c r="Q56" i="35"/>
  <c r="Q34" i="35"/>
  <c r="Q43" i="35"/>
  <c r="P67" i="35"/>
  <c r="P48" i="35"/>
  <c r="Q71" i="35"/>
  <c r="Q64" i="35"/>
  <c r="P55" i="35"/>
  <c r="Q31" i="35"/>
  <c r="Q58" i="35"/>
  <c r="Q24" i="35"/>
  <c r="P60" i="35"/>
  <c r="P34" i="35"/>
  <c r="P43" i="35"/>
  <c r="P50" i="35"/>
  <c r="P21" i="35"/>
  <c r="P71" i="35"/>
  <c r="P64" i="35"/>
  <c r="P40" i="35"/>
  <c r="Q35" i="35"/>
  <c r="Q52" i="35"/>
  <c r="Q38" i="35"/>
  <c r="P49" i="35"/>
  <c r="Q68" i="35"/>
  <c r="Q59" i="35"/>
  <c r="P19" i="35"/>
  <c r="P41" i="35"/>
  <c r="Q61" i="35"/>
  <c r="P42" i="35"/>
  <c r="Q60" i="35"/>
  <c r="P22" i="35"/>
  <c r="Q49" i="35"/>
  <c r="Q72" i="35"/>
  <c r="P27" i="35"/>
  <c r="P53" i="35"/>
  <c r="Q45" i="35"/>
  <c r="P46" i="35"/>
  <c r="P58" i="35"/>
  <c r="Q25" i="35"/>
  <c r="P28" i="35"/>
  <c r="P44" i="35"/>
  <c r="P63" i="35"/>
  <c r="P26" i="35"/>
  <c r="P72" i="35"/>
  <c r="P31" i="35"/>
  <c r="Q47" i="35"/>
  <c r="Q54" i="35"/>
  <c r="P57" i="35"/>
  <c r="Q21" i="35"/>
  <c r="P56" i="35"/>
  <c r="P36" i="35"/>
  <c r="Q44" i="35"/>
  <c r="Q70" i="35"/>
  <c r="P38" i="35"/>
  <c r="P61" i="35"/>
  <c r="Q33" i="35"/>
  <c r="P33" i="35"/>
  <c r="Q20" i="35"/>
  <c r="R73" i="35" l="1"/>
  <c r="I73" i="35" s="1"/>
  <c r="R72" i="35"/>
  <c r="I72" i="35" s="1"/>
  <c r="R71" i="35"/>
  <c r="I71" i="35" s="1"/>
  <c r="R70" i="35"/>
  <c r="I70" i="35" s="1"/>
  <c r="R68" i="35"/>
  <c r="I68" i="35" s="1"/>
  <c r="R67" i="35"/>
  <c r="I67" i="35" s="1"/>
  <c r="R69" i="35"/>
  <c r="I69" i="35" s="1"/>
  <c r="R65" i="35"/>
  <c r="I65" i="35" s="1"/>
  <c r="R66" i="35"/>
  <c r="I66" i="35" s="1"/>
  <c r="R64" i="35"/>
  <c r="I64" i="35" s="1"/>
  <c r="R23" i="35"/>
  <c r="I23" i="35" s="1"/>
  <c r="R22" i="35"/>
  <c r="I22" i="35" s="1"/>
  <c r="R21" i="35"/>
  <c r="I21" i="35" s="1"/>
  <c r="R24" i="35"/>
  <c r="I24" i="35" s="1"/>
  <c r="R30" i="35"/>
  <c r="I30" i="35" s="1"/>
  <c r="R31" i="35"/>
  <c r="I31" i="35" s="1"/>
  <c r="R29" i="35"/>
  <c r="I29" i="35" s="1"/>
  <c r="R26" i="35"/>
  <c r="I26" i="35" s="1"/>
  <c r="R25" i="35"/>
  <c r="I25" i="35" s="1"/>
  <c r="R27" i="35"/>
  <c r="I27" i="35" s="1"/>
  <c r="R28" i="35"/>
  <c r="I28" i="35" s="1"/>
  <c r="R20" i="35"/>
  <c r="I20" i="35" s="1"/>
  <c r="R19" i="35"/>
  <c r="I19" i="35" s="1"/>
  <c r="R60" i="35"/>
  <c r="I60" i="35" s="1"/>
  <c r="R48" i="35"/>
  <c r="I48" i="35" s="1"/>
  <c r="R63" i="35"/>
  <c r="I63" i="35" s="1"/>
  <c r="R56" i="35"/>
  <c r="I56" i="35" s="1"/>
  <c r="R52" i="35"/>
  <c r="I52" i="35" s="1"/>
  <c r="R53" i="35"/>
  <c r="I53" i="35" s="1"/>
  <c r="R45" i="35"/>
  <c r="I45" i="35" s="1"/>
  <c r="R43" i="35"/>
  <c r="I43" i="35" s="1"/>
  <c r="R41" i="35"/>
  <c r="I41" i="35" s="1"/>
  <c r="R39" i="35"/>
  <c r="I39" i="35" s="1"/>
  <c r="R37" i="35"/>
  <c r="I37" i="35" s="1"/>
  <c r="R35" i="35"/>
  <c r="I35" i="35" s="1"/>
  <c r="R33" i="35"/>
  <c r="I33" i="35" s="1"/>
  <c r="R32" i="35"/>
  <c r="I32" i="35" s="1"/>
  <c r="R44" i="35"/>
  <c r="I44" i="35" s="1"/>
  <c r="R42" i="35"/>
  <c r="I42" i="35" s="1"/>
  <c r="R34" i="35"/>
  <c r="I34" i="35" s="1"/>
  <c r="R40" i="35"/>
  <c r="I40" i="35" s="1"/>
  <c r="R36" i="35"/>
  <c r="I36" i="35" s="1"/>
  <c r="R38" i="35"/>
  <c r="I38" i="35" s="1"/>
  <c r="R59" i="35"/>
  <c r="I59" i="35" s="1"/>
  <c r="R55" i="35"/>
  <c r="I55" i="35" s="1"/>
  <c r="R62" i="35"/>
  <c r="I62" i="35" s="1"/>
  <c r="R58" i="35"/>
  <c r="I58" i="35" s="1"/>
  <c r="R54" i="35"/>
  <c r="I54" i="35" s="1"/>
  <c r="R50" i="35"/>
  <c r="I50" i="35" s="1"/>
  <c r="R46" i="35"/>
  <c r="I46" i="35" s="1"/>
  <c r="R47" i="35"/>
  <c r="I47" i="35" s="1"/>
  <c r="R51" i="35"/>
  <c r="I51" i="35" s="1"/>
  <c r="R61" i="35"/>
  <c r="I61" i="35" s="1"/>
  <c r="R57" i="35"/>
  <c r="I57" i="35" s="1"/>
  <c r="R49" i="35"/>
  <c r="I49" i="35" s="1"/>
  <c r="H91" i="2"/>
  <c r="I91" i="2"/>
  <c r="J91" i="2"/>
  <c r="K91" i="2"/>
  <c r="L91" i="2"/>
  <c r="M91" i="2"/>
  <c r="P91" i="2"/>
  <c r="Q91" i="2"/>
  <c r="R91" i="2"/>
  <c r="S91" i="2"/>
  <c r="H90" i="2"/>
  <c r="I90" i="2"/>
  <c r="J90" i="2"/>
  <c r="K90" i="2"/>
  <c r="L90" i="2"/>
  <c r="M90" i="2"/>
  <c r="P90" i="2"/>
  <c r="Q90" i="2"/>
  <c r="R90" i="2"/>
  <c r="S90" i="2"/>
  <c r="H89" i="2"/>
  <c r="I89" i="2"/>
  <c r="J89" i="2"/>
  <c r="K89" i="2"/>
  <c r="L89" i="2"/>
  <c r="M89" i="2"/>
  <c r="P89" i="2"/>
  <c r="Q89" i="2"/>
  <c r="R89" i="2"/>
  <c r="S89" i="2"/>
  <c r="H88" i="2"/>
  <c r="I88" i="2"/>
  <c r="J88" i="2"/>
  <c r="K88" i="2"/>
  <c r="L88" i="2"/>
  <c r="M88" i="2"/>
  <c r="P88" i="2"/>
  <c r="Q88" i="2"/>
  <c r="R88" i="2"/>
  <c r="S88" i="2"/>
  <c r="H87" i="2"/>
  <c r="I87" i="2"/>
  <c r="J87" i="2"/>
  <c r="K87" i="2"/>
  <c r="L87" i="2"/>
  <c r="M87" i="2"/>
  <c r="P87" i="2"/>
  <c r="Q87" i="2"/>
  <c r="R87" i="2"/>
  <c r="S87" i="2"/>
  <c r="H86" i="2"/>
  <c r="I86" i="2"/>
  <c r="J86" i="2"/>
  <c r="K86" i="2"/>
  <c r="L86" i="2"/>
  <c r="M86" i="2"/>
  <c r="P86" i="2"/>
  <c r="Q86" i="2"/>
  <c r="R86" i="2"/>
  <c r="S86" i="2"/>
  <c r="C22" i="16"/>
  <c r="H85" i="2"/>
  <c r="I85" i="2"/>
  <c r="J85" i="2"/>
  <c r="K85" i="2"/>
  <c r="L85" i="2"/>
  <c r="M85" i="2"/>
  <c r="P85" i="2"/>
  <c r="Q85" i="2"/>
  <c r="R85" i="2"/>
  <c r="S85" i="2"/>
  <c r="H84" i="2"/>
  <c r="I84" i="2"/>
  <c r="J84" i="2"/>
  <c r="K84" i="2"/>
  <c r="L84" i="2"/>
  <c r="M84" i="2"/>
  <c r="P84" i="2"/>
  <c r="Q84" i="2"/>
  <c r="R84" i="2"/>
  <c r="S84" i="2"/>
  <c r="S40" i="4"/>
  <c r="S41" i="4"/>
  <c r="R40" i="4"/>
  <c r="M63" i="34"/>
  <c r="O63" i="34" s="1"/>
  <c r="M62" i="34"/>
  <c r="O62" i="34" s="1"/>
  <c r="M61" i="34"/>
  <c r="O61" i="34" s="1"/>
  <c r="M60" i="34"/>
  <c r="O60" i="34" s="1"/>
  <c r="M59" i="34"/>
  <c r="O59" i="34" s="1"/>
  <c r="M58" i="34"/>
  <c r="O58" i="34" s="1"/>
  <c r="M57" i="34"/>
  <c r="O57" i="34" s="1"/>
  <c r="M56" i="34"/>
  <c r="O56" i="34" s="1"/>
  <c r="M55" i="34"/>
  <c r="O55" i="34" s="1"/>
  <c r="M54" i="34"/>
  <c r="O54" i="34" s="1"/>
  <c r="M53" i="34"/>
  <c r="O53" i="34" s="1"/>
  <c r="M52" i="34"/>
  <c r="O52" i="34" s="1"/>
  <c r="M51" i="34"/>
  <c r="O51" i="34" s="1"/>
  <c r="M50" i="34"/>
  <c r="O50" i="34" s="1"/>
  <c r="M49" i="34"/>
  <c r="O49" i="34" s="1"/>
  <c r="M48" i="34"/>
  <c r="M47" i="34"/>
  <c r="M46" i="34"/>
  <c r="M45" i="34"/>
  <c r="M44" i="34"/>
  <c r="M43" i="34"/>
  <c r="M42" i="34"/>
  <c r="M41" i="34"/>
  <c r="M40" i="34"/>
  <c r="M39" i="34"/>
  <c r="M38" i="34"/>
  <c r="M37" i="34"/>
  <c r="M36" i="34"/>
  <c r="M35" i="34"/>
  <c r="O35" i="34" s="1"/>
  <c r="M34" i="34"/>
  <c r="O34" i="34" s="1"/>
  <c r="M33" i="34"/>
  <c r="O33" i="34" s="1"/>
  <c r="M32" i="34"/>
  <c r="O32" i="34" s="1"/>
  <c r="M31" i="34"/>
  <c r="N31" i="34" s="1"/>
  <c r="M30" i="34"/>
  <c r="N30" i="34" s="1"/>
  <c r="M29" i="34"/>
  <c r="N29" i="34" s="1"/>
  <c r="M28" i="34"/>
  <c r="N28" i="34" s="1"/>
  <c r="M27" i="34"/>
  <c r="N27" i="34" s="1"/>
  <c r="M26" i="34"/>
  <c r="N26" i="34" s="1"/>
  <c r="M25" i="34"/>
  <c r="N25" i="34" s="1"/>
  <c r="M24" i="34"/>
  <c r="N24" i="34" s="1"/>
  <c r="M23" i="34"/>
  <c r="N23" i="34" s="1"/>
  <c r="M22" i="34"/>
  <c r="N22" i="34" s="1"/>
  <c r="M21" i="34"/>
  <c r="N21" i="34" s="1"/>
  <c r="M20" i="34"/>
  <c r="N20" i="34" s="1"/>
  <c r="M19" i="34"/>
  <c r="N19" i="34" s="1"/>
  <c r="Q18" i="34"/>
  <c r="P18" i="34"/>
  <c r="R18" i="34" s="1"/>
  <c r="I18" i="34" s="1"/>
  <c r="M18" i="34"/>
  <c r="N18" i="34" s="1"/>
  <c r="S17" i="34"/>
  <c r="Q17" i="34"/>
  <c r="P17" i="34"/>
  <c r="R17" i="34" s="1"/>
  <c r="I17" i="34" s="1"/>
  <c r="M17" i="34"/>
  <c r="N17" i="34" s="1"/>
  <c r="J17" i="34"/>
  <c r="K17" i="34" s="1"/>
  <c r="S16" i="34"/>
  <c r="Q16" i="34"/>
  <c r="P16" i="34"/>
  <c r="R16" i="34" s="1"/>
  <c r="I16" i="34" s="1"/>
  <c r="M16" i="34"/>
  <c r="N16" i="34" s="1"/>
  <c r="J16" i="34"/>
  <c r="L16" i="34" s="1"/>
  <c r="S15" i="34"/>
  <c r="Q15" i="34"/>
  <c r="P15" i="34"/>
  <c r="R15" i="34" s="1"/>
  <c r="I15" i="34" s="1"/>
  <c r="M15" i="34"/>
  <c r="N15" i="34" s="1"/>
  <c r="J15" i="34"/>
  <c r="K15" i="34" s="1"/>
  <c r="S14" i="34"/>
  <c r="Q14" i="34"/>
  <c r="P14" i="34"/>
  <c r="R14" i="34" s="1"/>
  <c r="I14" i="34" s="1"/>
  <c r="M14" i="34"/>
  <c r="N14" i="34" s="1"/>
  <c r="J14" i="34"/>
  <c r="L14" i="34" s="1"/>
  <c r="S13" i="34"/>
  <c r="Q13" i="34"/>
  <c r="P13" i="34"/>
  <c r="R13" i="34" s="1"/>
  <c r="I13" i="34" s="1"/>
  <c r="M13" i="34"/>
  <c r="N13" i="34" s="1"/>
  <c r="J13" i="34"/>
  <c r="K13" i="34" s="1"/>
  <c r="S12" i="34"/>
  <c r="Q12" i="34"/>
  <c r="P12" i="34"/>
  <c r="R12" i="34" s="1"/>
  <c r="I12" i="34" s="1"/>
  <c r="M12" i="34"/>
  <c r="N12" i="34" s="1"/>
  <c r="J12" i="34"/>
  <c r="K12" i="34" s="1"/>
  <c r="S11" i="34"/>
  <c r="Q11" i="34"/>
  <c r="P11" i="34"/>
  <c r="R11" i="34" s="1"/>
  <c r="I11" i="34" s="1"/>
  <c r="M11" i="34"/>
  <c r="N11" i="34" s="1"/>
  <c r="J11" i="34"/>
  <c r="L11" i="34" s="1"/>
  <c r="S10" i="34"/>
  <c r="Q10" i="34"/>
  <c r="P10" i="34"/>
  <c r="R10" i="34" s="1"/>
  <c r="I10" i="34" s="1"/>
  <c r="M10" i="34"/>
  <c r="N10" i="34" s="1"/>
  <c r="J10" i="34"/>
  <c r="K10" i="34" s="1"/>
  <c r="S9" i="34"/>
  <c r="Q9" i="34"/>
  <c r="P9" i="34"/>
  <c r="R9" i="34" s="1"/>
  <c r="I9" i="34" s="1"/>
  <c r="M9" i="34"/>
  <c r="N9" i="34" s="1"/>
  <c r="J9" i="34"/>
  <c r="L9" i="34" s="1"/>
  <c r="S8" i="34"/>
  <c r="Q8" i="34"/>
  <c r="P8" i="34"/>
  <c r="R8" i="34" s="1"/>
  <c r="I8" i="34" s="1"/>
  <c r="M8" i="34"/>
  <c r="N8" i="34" s="1"/>
  <c r="J8" i="34"/>
  <c r="K8" i="34" s="1"/>
  <c r="S7" i="34"/>
  <c r="Q7" i="34"/>
  <c r="P7" i="34"/>
  <c r="R7" i="34" s="1"/>
  <c r="I7" i="34" s="1"/>
  <c r="M7" i="34"/>
  <c r="J7" i="34"/>
  <c r="L7" i="34" s="1"/>
  <c r="S6" i="34"/>
  <c r="Q6" i="34"/>
  <c r="P6" i="34"/>
  <c r="R6" i="34" s="1"/>
  <c r="I6" i="34" s="1"/>
  <c r="M6" i="34"/>
  <c r="N6" i="34" s="1"/>
  <c r="J6" i="34"/>
  <c r="L6" i="34" s="1"/>
  <c r="S5" i="34"/>
  <c r="Q5" i="34"/>
  <c r="P5" i="34"/>
  <c r="R5" i="34" s="1"/>
  <c r="I5" i="34" s="1"/>
  <c r="M5" i="34"/>
  <c r="N5" i="34" s="1"/>
  <c r="J5" i="34"/>
  <c r="K5" i="34" s="1"/>
  <c r="H5" i="34"/>
  <c r="H6" i="34" s="1"/>
  <c r="H7" i="34" s="1"/>
  <c r="H8" i="34" s="1"/>
  <c r="H9" i="34" s="1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83" i="2"/>
  <c r="I83" i="2"/>
  <c r="J83" i="2"/>
  <c r="K83" i="2"/>
  <c r="L83" i="2"/>
  <c r="M83" i="2"/>
  <c r="P83" i="2"/>
  <c r="Q83" i="2"/>
  <c r="R83" i="2"/>
  <c r="S83" i="2"/>
  <c r="C21" i="16"/>
  <c r="C20" i="16"/>
  <c r="H82" i="2"/>
  <c r="I82" i="2"/>
  <c r="J82" i="2"/>
  <c r="K82" i="2"/>
  <c r="L82" i="2"/>
  <c r="M82" i="2"/>
  <c r="P82" i="2"/>
  <c r="Q82" i="2"/>
  <c r="R82" i="2"/>
  <c r="S82" i="2"/>
  <c r="R41" i="4"/>
  <c r="Q41" i="4"/>
  <c r="M63" i="33"/>
  <c r="N63" i="33" s="1"/>
  <c r="M62" i="33"/>
  <c r="N62" i="33" s="1"/>
  <c r="M61" i="33"/>
  <c r="N61" i="33" s="1"/>
  <c r="M60" i="33"/>
  <c r="N60" i="33" s="1"/>
  <c r="M59" i="33"/>
  <c r="N59" i="33" s="1"/>
  <c r="M58" i="33"/>
  <c r="N58" i="33" s="1"/>
  <c r="M57" i="33"/>
  <c r="N57" i="33" s="1"/>
  <c r="M56" i="33"/>
  <c r="N56" i="33" s="1"/>
  <c r="M55" i="33"/>
  <c r="N55" i="33" s="1"/>
  <c r="M54" i="33"/>
  <c r="N54" i="33" s="1"/>
  <c r="M53" i="33"/>
  <c r="N53" i="33" s="1"/>
  <c r="M52" i="33"/>
  <c r="N52" i="33" s="1"/>
  <c r="M51" i="33"/>
  <c r="N51" i="33" s="1"/>
  <c r="M50" i="33"/>
  <c r="N50" i="33" s="1"/>
  <c r="M49" i="33"/>
  <c r="N49" i="33" s="1"/>
  <c r="M48" i="33"/>
  <c r="N48" i="33" s="1"/>
  <c r="M47" i="33"/>
  <c r="N47" i="33" s="1"/>
  <c r="M46" i="33"/>
  <c r="N46" i="33" s="1"/>
  <c r="M45" i="33"/>
  <c r="N45" i="33" s="1"/>
  <c r="M44" i="33"/>
  <c r="N44" i="33" s="1"/>
  <c r="M43" i="33"/>
  <c r="N43" i="33" s="1"/>
  <c r="M42" i="33"/>
  <c r="N42" i="33" s="1"/>
  <c r="M41" i="33"/>
  <c r="N41" i="33" s="1"/>
  <c r="M40" i="33"/>
  <c r="N40" i="33" s="1"/>
  <c r="M39" i="33"/>
  <c r="N39" i="33" s="1"/>
  <c r="M38" i="33"/>
  <c r="N38" i="33" s="1"/>
  <c r="M37" i="33"/>
  <c r="N37" i="33" s="1"/>
  <c r="M36" i="33"/>
  <c r="N36" i="33" s="1"/>
  <c r="M35" i="33"/>
  <c r="N35" i="33" s="1"/>
  <c r="M34" i="33"/>
  <c r="N34" i="33" s="1"/>
  <c r="M33" i="33"/>
  <c r="N33" i="33" s="1"/>
  <c r="M32" i="33"/>
  <c r="N32" i="33" s="1"/>
  <c r="M31" i="33"/>
  <c r="N31" i="33" s="1"/>
  <c r="M30" i="33"/>
  <c r="N30" i="33" s="1"/>
  <c r="M29" i="33"/>
  <c r="N29" i="33" s="1"/>
  <c r="M28" i="33"/>
  <c r="N28" i="33" s="1"/>
  <c r="M27" i="33"/>
  <c r="N27" i="33" s="1"/>
  <c r="M26" i="33"/>
  <c r="N26" i="33" s="1"/>
  <c r="M25" i="33"/>
  <c r="N25" i="33" s="1"/>
  <c r="M24" i="33"/>
  <c r="N24" i="33" s="1"/>
  <c r="M23" i="33"/>
  <c r="N23" i="33" s="1"/>
  <c r="M22" i="33"/>
  <c r="N22" i="33" s="1"/>
  <c r="M21" i="33"/>
  <c r="N21" i="33" s="1"/>
  <c r="M20" i="33"/>
  <c r="N20" i="33" s="1"/>
  <c r="M19" i="33"/>
  <c r="N19" i="33" s="1"/>
  <c r="Q18" i="33"/>
  <c r="P18" i="33"/>
  <c r="R18" i="33" s="1"/>
  <c r="I18" i="33" s="1"/>
  <c r="M18" i="33"/>
  <c r="N18" i="33" s="1"/>
  <c r="S17" i="33"/>
  <c r="Q17" i="33"/>
  <c r="P17" i="33"/>
  <c r="R17" i="33" s="1"/>
  <c r="I17" i="33" s="1"/>
  <c r="M17" i="33"/>
  <c r="N17" i="33" s="1"/>
  <c r="J17" i="33"/>
  <c r="L17" i="33" s="1"/>
  <c r="S16" i="33"/>
  <c r="Q16" i="33"/>
  <c r="P16" i="33"/>
  <c r="R16" i="33" s="1"/>
  <c r="I16" i="33" s="1"/>
  <c r="M16" i="33"/>
  <c r="N16" i="33" s="1"/>
  <c r="J16" i="33"/>
  <c r="L16" i="33" s="1"/>
  <c r="S15" i="33"/>
  <c r="Q15" i="33"/>
  <c r="P15" i="33"/>
  <c r="R15" i="33" s="1"/>
  <c r="I15" i="33" s="1"/>
  <c r="M15" i="33"/>
  <c r="N15" i="33" s="1"/>
  <c r="J15" i="33"/>
  <c r="L15" i="33" s="1"/>
  <c r="S14" i="33"/>
  <c r="Q14" i="33"/>
  <c r="P14" i="33"/>
  <c r="R14" i="33" s="1"/>
  <c r="I14" i="33" s="1"/>
  <c r="M14" i="33"/>
  <c r="N14" i="33" s="1"/>
  <c r="J14" i="33"/>
  <c r="L14" i="33" s="1"/>
  <c r="S13" i="33"/>
  <c r="Q13" i="33"/>
  <c r="P13" i="33"/>
  <c r="R13" i="33" s="1"/>
  <c r="I13" i="33" s="1"/>
  <c r="M13" i="33"/>
  <c r="N13" i="33" s="1"/>
  <c r="J13" i="33"/>
  <c r="L13" i="33" s="1"/>
  <c r="S12" i="33"/>
  <c r="Q12" i="33"/>
  <c r="P12" i="33"/>
  <c r="R12" i="33" s="1"/>
  <c r="I12" i="33" s="1"/>
  <c r="M12" i="33"/>
  <c r="N12" i="33" s="1"/>
  <c r="J12" i="33"/>
  <c r="L12" i="33" s="1"/>
  <c r="S11" i="33"/>
  <c r="Q11" i="33"/>
  <c r="P11" i="33"/>
  <c r="R11" i="33" s="1"/>
  <c r="I11" i="33" s="1"/>
  <c r="M11" i="33"/>
  <c r="N11" i="33" s="1"/>
  <c r="J11" i="33"/>
  <c r="L11" i="33" s="1"/>
  <c r="S10" i="33"/>
  <c r="Q10" i="33"/>
  <c r="P10" i="33"/>
  <c r="R10" i="33" s="1"/>
  <c r="I10" i="33" s="1"/>
  <c r="M10" i="33"/>
  <c r="N10" i="33" s="1"/>
  <c r="J10" i="33"/>
  <c r="L10" i="33" s="1"/>
  <c r="S9" i="33"/>
  <c r="Q9" i="33"/>
  <c r="P9" i="33"/>
  <c r="R9" i="33" s="1"/>
  <c r="I9" i="33" s="1"/>
  <c r="M9" i="33"/>
  <c r="N9" i="33" s="1"/>
  <c r="J9" i="33"/>
  <c r="L9" i="33" s="1"/>
  <c r="S8" i="33"/>
  <c r="Q8" i="33"/>
  <c r="P8" i="33"/>
  <c r="R8" i="33" s="1"/>
  <c r="I8" i="33" s="1"/>
  <c r="M8" i="33"/>
  <c r="N8" i="33" s="1"/>
  <c r="J8" i="33"/>
  <c r="L8" i="33" s="1"/>
  <c r="S7" i="33"/>
  <c r="Q7" i="33"/>
  <c r="P7" i="33"/>
  <c r="R7" i="33" s="1"/>
  <c r="I7" i="33" s="1"/>
  <c r="M7" i="33"/>
  <c r="N7" i="33" s="1"/>
  <c r="J7" i="33"/>
  <c r="L7" i="33" s="1"/>
  <c r="S6" i="33"/>
  <c r="Q6" i="33"/>
  <c r="P6" i="33"/>
  <c r="R6" i="33" s="1"/>
  <c r="I6" i="33" s="1"/>
  <c r="M6" i="33"/>
  <c r="N6" i="33" s="1"/>
  <c r="J6" i="33"/>
  <c r="L6" i="33" s="1"/>
  <c r="S5" i="33"/>
  <c r="Q5" i="33"/>
  <c r="P5" i="33"/>
  <c r="R5" i="33" s="1"/>
  <c r="I5" i="33" s="1"/>
  <c r="M5" i="33"/>
  <c r="N5" i="33" s="1"/>
  <c r="J5" i="33"/>
  <c r="K5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0" i="33" s="1"/>
  <c r="H21" i="33" s="1"/>
  <c r="H22" i="33" s="1"/>
  <c r="H23" i="33" s="1"/>
  <c r="H24" i="33" s="1"/>
  <c r="H25" i="33" s="1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60" i="33" s="1"/>
  <c r="H61" i="33" s="1"/>
  <c r="H62" i="33" s="1"/>
  <c r="H63" i="33" s="1"/>
  <c r="H64" i="33" s="1"/>
  <c r="H65" i="33" s="1"/>
  <c r="H66" i="33" s="1"/>
  <c r="H67" i="33" s="1"/>
  <c r="H68" i="33" s="1"/>
  <c r="H69" i="33" s="1"/>
  <c r="H70" i="33" s="1"/>
  <c r="H71" i="33" s="1"/>
  <c r="H72" i="33" s="1"/>
  <c r="H73" i="33" s="1"/>
  <c r="Q40" i="4"/>
  <c r="H81" i="2"/>
  <c r="I81" i="2"/>
  <c r="J81" i="2"/>
  <c r="K81" i="2"/>
  <c r="L81" i="2"/>
  <c r="M81" i="2"/>
  <c r="P81" i="2"/>
  <c r="Q81" i="2"/>
  <c r="R81" i="2"/>
  <c r="S81" i="2"/>
  <c r="H80" i="2"/>
  <c r="I80" i="2"/>
  <c r="J80" i="2"/>
  <c r="K80" i="2"/>
  <c r="L80" i="2"/>
  <c r="M80" i="2"/>
  <c r="P80" i="2"/>
  <c r="Q80" i="2"/>
  <c r="R80" i="2"/>
  <c r="S80" i="2"/>
  <c r="H79" i="2"/>
  <c r="I79" i="2"/>
  <c r="J79" i="2"/>
  <c r="K79" i="2"/>
  <c r="L79" i="2"/>
  <c r="M79" i="2"/>
  <c r="P79" i="2"/>
  <c r="Q79" i="2"/>
  <c r="R79" i="2"/>
  <c r="S79" i="2"/>
  <c r="H78" i="2"/>
  <c r="I78" i="2"/>
  <c r="J78" i="2"/>
  <c r="K78" i="2"/>
  <c r="L78" i="2"/>
  <c r="M78" i="2"/>
  <c r="P78" i="2"/>
  <c r="Q78" i="2"/>
  <c r="R78" i="2"/>
  <c r="S78" i="2"/>
  <c r="P34" i="4"/>
  <c r="P35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38" i="4"/>
  <c r="B39" i="4"/>
  <c r="B40" i="4"/>
  <c r="C38" i="4"/>
  <c r="C39" i="4"/>
  <c r="C40" i="4"/>
  <c r="D38" i="4"/>
  <c r="D39" i="4"/>
  <c r="D40" i="4"/>
  <c r="E38" i="4"/>
  <c r="E39" i="4"/>
  <c r="E40" i="4"/>
  <c r="F38" i="4"/>
  <c r="F39" i="4"/>
  <c r="F40" i="4"/>
  <c r="G38" i="4"/>
  <c r="G39" i="4"/>
  <c r="G40" i="4"/>
  <c r="H38" i="4"/>
  <c r="H39" i="4"/>
  <c r="H40" i="4"/>
  <c r="I38" i="4"/>
  <c r="I39" i="4"/>
  <c r="I40" i="4"/>
  <c r="J38" i="4"/>
  <c r="J39" i="4"/>
  <c r="J40" i="4"/>
  <c r="K38" i="4"/>
  <c r="K39" i="4"/>
  <c r="K40" i="4"/>
  <c r="L38" i="4"/>
  <c r="L39" i="4"/>
  <c r="L40" i="4"/>
  <c r="M38" i="4"/>
  <c r="M39" i="4"/>
  <c r="M40" i="4"/>
  <c r="N38" i="4"/>
  <c r="N39" i="4"/>
  <c r="N40" i="4"/>
  <c r="O38" i="4"/>
  <c r="O39" i="4"/>
  <c r="O40" i="4"/>
  <c r="P38" i="4"/>
  <c r="P39" i="4"/>
  <c r="P40" i="4"/>
  <c r="M60" i="31"/>
  <c r="M61" i="31"/>
  <c r="M62" i="31"/>
  <c r="M63" i="31"/>
  <c r="N60" i="31"/>
  <c r="N61" i="31"/>
  <c r="N62" i="31"/>
  <c r="N63" i="31"/>
  <c r="O60" i="31"/>
  <c r="O61" i="31"/>
  <c r="O62" i="31"/>
  <c r="O63" i="31"/>
  <c r="M60" i="29"/>
  <c r="O60" i="29" s="1"/>
  <c r="M61" i="29"/>
  <c r="M62" i="29"/>
  <c r="O62" i="29" s="1"/>
  <c r="M63" i="29"/>
  <c r="N63" i="29" s="1"/>
  <c r="M60" i="28"/>
  <c r="O60" i="28" s="1"/>
  <c r="M61" i="28"/>
  <c r="O61" i="28" s="1"/>
  <c r="M62" i="28"/>
  <c r="O62" i="28" s="1"/>
  <c r="M63" i="28"/>
  <c r="N63" i="28" s="1"/>
  <c r="N60" i="28"/>
  <c r="N61" i="28"/>
  <c r="N62" i="28"/>
  <c r="M60" i="26"/>
  <c r="N60" i="26" s="1"/>
  <c r="M61" i="26"/>
  <c r="O61" i="26" s="1"/>
  <c r="M62" i="26"/>
  <c r="O62" i="26" s="1"/>
  <c r="M63" i="26"/>
  <c r="O63" i="26" s="1"/>
  <c r="N62" i="26"/>
  <c r="N63" i="26"/>
  <c r="M60" i="25"/>
  <c r="N60" i="25" s="1"/>
  <c r="M61" i="25"/>
  <c r="N61" i="25" s="1"/>
  <c r="M62" i="25"/>
  <c r="N62" i="25" s="1"/>
  <c r="M63" i="25"/>
  <c r="N63" i="25" s="1"/>
  <c r="M60" i="20"/>
  <c r="O60" i="20" s="1"/>
  <c r="M61" i="20"/>
  <c r="O61" i="20" s="1"/>
  <c r="M62" i="20"/>
  <c r="O62" i="20" s="1"/>
  <c r="M63" i="20"/>
  <c r="N63" i="20" s="1"/>
  <c r="N60" i="20"/>
  <c r="N61" i="20"/>
  <c r="N62" i="20"/>
  <c r="M60" i="19"/>
  <c r="O60" i="19" s="1"/>
  <c r="M61" i="19"/>
  <c r="O61" i="19" s="1"/>
  <c r="M62" i="19"/>
  <c r="N62" i="19" s="1"/>
  <c r="M63" i="19"/>
  <c r="N63" i="19" s="1"/>
  <c r="N60" i="19"/>
  <c r="N61" i="19"/>
  <c r="M60" i="18"/>
  <c r="O60" i="18" s="1"/>
  <c r="M61" i="18"/>
  <c r="O61" i="18" s="1"/>
  <c r="M62" i="18"/>
  <c r="O62" i="18" s="1"/>
  <c r="M63" i="18"/>
  <c r="N63" i="18" s="1"/>
  <c r="N60" i="18"/>
  <c r="N61" i="18"/>
  <c r="N62" i="18"/>
  <c r="M60" i="17"/>
  <c r="O60" i="17" s="1"/>
  <c r="M61" i="17"/>
  <c r="O61" i="17" s="1"/>
  <c r="M62" i="17"/>
  <c r="O62" i="17" s="1"/>
  <c r="M63" i="17"/>
  <c r="N63" i="17" s="1"/>
  <c r="N60" i="17"/>
  <c r="N61" i="17"/>
  <c r="M60" i="13"/>
  <c r="O60" i="13" s="1"/>
  <c r="M61" i="13"/>
  <c r="O61" i="13" s="1"/>
  <c r="M62" i="13"/>
  <c r="N62" i="13" s="1"/>
  <c r="M63" i="13"/>
  <c r="O63" i="13" s="1"/>
  <c r="N60" i="13"/>
  <c r="N61" i="13"/>
  <c r="M60" i="12"/>
  <c r="O60" i="12" s="1"/>
  <c r="M61" i="12"/>
  <c r="N61" i="12" s="1"/>
  <c r="M62" i="12"/>
  <c r="O62" i="12" s="1"/>
  <c r="M63" i="12"/>
  <c r="N63" i="12" s="1"/>
  <c r="N60" i="12"/>
  <c r="M60" i="11"/>
  <c r="O60" i="11" s="1"/>
  <c r="M61" i="11"/>
  <c r="O61" i="11" s="1"/>
  <c r="M62" i="11"/>
  <c r="O62" i="11" s="1"/>
  <c r="M63" i="11"/>
  <c r="N63" i="11" s="1"/>
  <c r="M61" i="10"/>
  <c r="O61" i="10" s="1"/>
  <c r="M62" i="10"/>
  <c r="N62" i="10" s="1"/>
  <c r="M63" i="10"/>
  <c r="N63" i="10" s="1"/>
  <c r="M60" i="10"/>
  <c r="N60" i="10" s="1"/>
  <c r="M61" i="5"/>
  <c r="O61" i="5" s="1"/>
  <c r="M62" i="5"/>
  <c r="O62" i="5" s="1"/>
  <c r="M63" i="5"/>
  <c r="N63" i="5" s="1"/>
  <c r="M60" i="5"/>
  <c r="N60" i="5" s="1"/>
  <c r="M63" i="7"/>
  <c r="N63" i="7" s="1"/>
  <c r="M62" i="7"/>
  <c r="N62" i="7" s="1"/>
  <c r="M61" i="7"/>
  <c r="N61" i="7" s="1"/>
  <c r="M60" i="7"/>
  <c r="N60" i="7" s="1"/>
  <c r="M63" i="32"/>
  <c r="N63" i="32" s="1"/>
  <c r="M62" i="32"/>
  <c r="N62" i="32" s="1"/>
  <c r="M61" i="32"/>
  <c r="N61" i="32" s="1"/>
  <c r="M60" i="32"/>
  <c r="N60" i="32" s="1"/>
  <c r="M59" i="32"/>
  <c r="M58" i="32"/>
  <c r="M57" i="32"/>
  <c r="M56" i="32"/>
  <c r="M55" i="32"/>
  <c r="M54" i="32"/>
  <c r="M53" i="32"/>
  <c r="M52" i="32"/>
  <c r="M51" i="32"/>
  <c r="M50" i="32"/>
  <c r="M49" i="32"/>
  <c r="M48" i="32"/>
  <c r="M47" i="32"/>
  <c r="M46" i="32"/>
  <c r="M45" i="32"/>
  <c r="M44" i="32"/>
  <c r="M43" i="32"/>
  <c r="M42" i="32"/>
  <c r="M41" i="32"/>
  <c r="M40" i="32"/>
  <c r="M39" i="32"/>
  <c r="M38" i="32"/>
  <c r="M37" i="32"/>
  <c r="M36" i="32"/>
  <c r="M35" i="32"/>
  <c r="M34" i="32"/>
  <c r="N34" i="32" s="1"/>
  <c r="M33" i="32"/>
  <c r="N33" i="32" s="1"/>
  <c r="M32" i="32"/>
  <c r="M31" i="32"/>
  <c r="N31" i="32" s="1"/>
  <c r="M30" i="32"/>
  <c r="N30" i="32" s="1"/>
  <c r="M29" i="32"/>
  <c r="N29" i="32" s="1"/>
  <c r="M28" i="32"/>
  <c r="M27" i="32"/>
  <c r="M26" i="32"/>
  <c r="M25" i="32"/>
  <c r="M24" i="32"/>
  <c r="M23" i="32"/>
  <c r="M22" i="32"/>
  <c r="M21" i="32"/>
  <c r="M20" i="32"/>
  <c r="M19" i="32"/>
  <c r="Q18" i="32"/>
  <c r="P18" i="32"/>
  <c r="R18" i="32" s="1"/>
  <c r="I18" i="32" s="1"/>
  <c r="M18" i="32"/>
  <c r="S17" i="32"/>
  <c r="Q17" i="32"/>
  <c r="P17" i="32"/>
  <c r="R17" i="32" s="1"/>
  <c r="I17" i="32" s="1"/>
  <c r="M17" i="32"/>
  <c r="J17" i="32"/>
  <c r="L17" i="32" s="1"/>
  <c r="S16" i="32"/>
  <c r="Q16" i="32"/>
  <c r="P16" i="32"/>
  <c r="R16" i="32" s="1"/>
  <c r="I16" i="32" s="1"/>
  <c r="M16" i="32"/>
  <c r="J16" i="32"/>
  <c r="L16" i="32" s="1"/>
  <c r="S15" i="32"/>
  <c r="Q15" i="32"/>
  <c r="P15" i="32"/>
  <c r="R15" i="32" s="1"/>
  <c r="I15" i="32" s="1"/>
  <c r="M15" i="32"/>
  <c r="J15" i="32"/>
  <c r="L15" i="32" s="1"/>
  <c r="S14" i="32"/>
  <c r="Q14" i="32"/>
  <c r="P14" i="32"/>
  <c r="R14" i="32" s="1"/>
  <c r="I14" i="32" s="1"/>
  <c r="M14" i="32"/>
  <c r="J14" i="32"/>
  <c r="L14" i="32" s="1"/>
  <c r="S13" i="32"/>
  <c r="Q13" i="32"/>
  <c r="P13" i="32"/>
  <c r="R13" i="32" s="1"/>
  <c r="I13" i="32" s="1"/>
  <c r="M13" i="32"/>
  <c r="J13" i="32"/>
  <c r="L13" i="32" s="1"/>
  <c r="S12" i="32"/>
  <c r="Q12" i="32"/>
  <c r="P12" i="32"/>
  <c r="R12" i="32" s="1"/>
  <c r="I12" i="32" s="1"/>
  <c r="M12" i="32"/>
  <c r="J12" i="32"/>
  <c r="L12" i="32" s="1"/>
  <c r="S11" i="32"/>
  <c r="Q11" i="32"/>
  <c r="P11" i="32"/>
  <c r="R11" i="32" s="1"/>
  <c r="I11" i="32" s="1"/>
  <c r="M11" i="32"/>
  <c r="J11" i="32"/>
  <c r="L11" i="32" s="1"/>
  <c r="S10" i="32"/>
  <c r="Q10" i="32"/>
  <c r="P10" i="32"/>
  <c r="R10" i="32" s="1"/>
  <c r="I10" i="32" s="1"/>
  <c r="M10" i="32"/>
  <c r="J10" i="32"/>
  <c r="L10" i="32" s="1"/>
  <c r="S9" i="32"/>
  <c r="Q9" i="32"/>
  <c r="P9" i="32"/>
  <c r="R9" i="32" s="1"/>
  <c r="I9" i="32" s="1"/>
  <c r="M9" i="32"/>
  <c r="J9" i="32"/>
  <c r="L9" i="32" s="1"/>
  <c r="S8" i="32"/>
  <c r="Q8" i="32"/>
  <c r="P8" i="32"/>
  <c r="R8" i="32" s="1"/>
  <c r="I8" i="32" s="1"/>
  <c r="M8" i="32"/>
  <c r="J8" i="32"/>
  <c r="L8" i="32" s="1"/>
  <c r="S7" i="32"/>
  <c r="Q7" i="32"/>
  <c r="P7" i="32"/>
  <c r="R7" i="32" s="1"/>
  <c r="I7" i="32" s="1"/>
  <c r="M7" i="32"/>
  <c r="J7" i="32"/>
  <c r="L7" i="32" s="1"/>
  <c r="S6" i="32"/>
  <c r="Q6" i="32"/>
  <c r="P6" i="32"/>
  <c r="R6" i="32" s="1"/>
  <c r="I6" i="32" s="1"/>
  <c r="M6" i="32"/>
  <c r="J6" i="32"/>
  <c r="L6" i="32" s="1"/>
  <c r="S5" i="32"/>
  <c r="Q5" i="32"/>
  <c r="P5" i="32"/>
  <c r="R5" i="32" s="1"/>
  <c r="I5" i="32" s="1"/>
  <c r="M5" i="32"/>
  <c r="J5" i="32"/>
  <c r="L5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7" i="2"/>
  <c r="I77" i="2"/>
  <c r="J77" i="2"/>
  <c r="K77" i="2"/>
  <c r="L77" i="2"/>
  <c r="M77" i="2"/>
  <c r="P77" i="2"/>
  <c r="Q77" i="2"/>
  <c r="R77" i="2"/>
  <c r="S77" i="2"/>
  <c r="H76" i="2"/>
  <c r="I76" i="2"/>
  <c r="J76" i="2"/>
  <c r="K76" i="2"/>
  <c r="L76" i="2"/>
  <c r="M76" i="2"/>
  <c r="P76" i="2"/>
  <c r="Q76" i="2"/>
  <c r="R76" i="2"/>
  <c r="S76" i="2"/>
  <c r="Q71" i="34"/>
  <c r="P73" i="33"/>
  <c r="P73" i="20"/>
  <c r="Q67" i="34"/>
  <c r="Q65" i="34"/>
  <c r="P71" i="33"/>
  <c r="P67" i="33"/>
  <c r="J59" i="34"/>
  <c r="J60" i="20"/>
  <c r="J30" i="33"/>
  <c r="J28" i="34"/>
  <c r="S48" i="34"/>
  <c r="S63" i="10"/>
  <c r="S63" i="31"/>
  <c r="S44" i="33"/>
  <c r="S41" i="34"/>
  <c r="S62" i="25"/>
  <c r="S22" i="33"/>
  <c r="J43" i="34"/>
  <c r="S61" i="19"/>
  <c r="S32" i="33"/>
  <c r="P29" i="34"/>
  <c r="S32" i="34"/>
  <c r="S55" i="34"/>
  <c r="J63" i="29"/>
  <c r="J55" i="33"/>
  <c r="J57" i="34"/>
  <c r="J61" i="18"/>
  <c r="J60" i="19"/>
  <c r="S60" i="7"/>
  <c r="J21" i="32"/>
  <c r="D20" i="16"/>
  <c r="S50" i="34"/>
  <c r="J63" i="28"/>
  <c r="P32" i="33"/>
  <c r="S55" i="33"/>
  <c r="S60" i="26"/>
  <c r="S37" i="32"/>
  <c r="J56" i="34"/>
  <c r="J60" i="17"/>
  <c r="S46" i="33"/>
  <c r="J52" i="32"/>
  <c r="J63" i="34"/>
  <c r="S60" i="20"/>
  <c r="P25" i="33"/>
  <c r="J61" i="28"/>
  <c r="Q73" i="31"/>
  <c r="P40" i="33"/>
  <c r="J58" i="34"/>
  <c r="J61" i="19"/>
  <c r="J62" i="33"/>
  <c r="P61" i="33"/>
  <c r="P23" i="34"/>
  <c r="J63" i="11"/>
  <c r="S60" i="31"/>
  <c r="P54" i="33"/>
  <c r="J27" i="34"/>
  <c r="J50" i="32"/>
  <c r="J22" i="32"/>
  <c r="P50" i="33"/>
  <c r="J36" i="33"/>
  <c r="J33" i="34"/>
  <c r="J61" i="5"/>
  <c r="J48" i="33"/>
  <c r="J19" i="34"/>
  <c r="J60" i="10"/>
  <c r="S59" i="32"/>
  <c r="J49" i="32"/>
  <c r="S62" i="20"/>
  <c r="S50" i="32"/>
  <c r="J27" i="32"/>
  <c r="J60" i="29"/>
  <c r="J60" i="26"/>
  <c r="S42" i="33"/>
  <c r="J57" i="32"/>
  <c r="J47" i="32"/>
  <c r="S43" i="34"/>
  <c r="J62" i="26"/>
  <c r="J43" i="33"/>
  <c r="J45" i="34"/>
  <c r="D22" i="16"/>
  <c r="J61" i="13"/>
  <c r="P20" i="33"/>
  <c r="J26" i="33"/>
  <c r="P28" i="34"/>
  <c r="J23" i="32"/>
  <c r="J50" i="34"/>
  <c r="J62" i="18"/>
  <c r="S63" i="11"/>
  <c r="J63" i="31"/>
  <c r="P31" i="33"/>
  <c r="J29" i="34"/>
  <c r="S36" i="34"/>
  <c r="S23" i="32"/>
  <c r="J63" i="10"/>
  <c r="J35" i="34"/>
  <c r="S52" i="32"/>
  <c r="J29" i="33"/>
  <c r="J63" i="13"/>
  <c r="J60" i="25"/>
  <c r="J20" i="34"/>
  <c r="S62" i="11"/>
  <c r="S29" i="34"/>
  <c r="S60" i="19"/>
  <c r="S60" i="12"/>
  <c r="S62" i="18"/>
  <c r="S56" i="34"/>
  <c r="S20" i="33"/>
  <c r="J61" i="32"/>
  <c r="J63" i="32"/>
  <c r="S35" i="33"/>
  <c r="S43" i="33"/>
  <c r="P63" i="33"/>
  <c r="P21" i="33"/>
  <c r="S58" i="32"/>
  <c r="S38" i="32"/>
  <c r="J54" i="32"/>
  <c r="J23" i="34"/>
  <c r="J37" i="33"/>
  <c r="S44" i="34"/>
  <c r="S63" i="19"/>
  <c r="J30" i="32"/>
  <c r="S28" i="32"/>
  <c r="J51" i="32"/>
  <c r="S20" i="32"/>
  <c r="J63" i="7"/>
  <c r="S60" i="11"/>
  <c r="S31" i="32"/>
  <c r="S58" i="33"/>
  <c r="S63" i="12"/>
  <c r="P24" i="34"/>
  <c r="P47" i="33"/>
  <c r="Q70" i="34"/>
  <c r="P73" i="18"/>
  <c r="P73" i="7"/>
  <c r="Q66" i="34"/>
  <c r="Q64" i="34"/>
  <c r="P69" i="33"/>
  <c r="P66" i="33"/>
  <c r="S25" i="34"/>
  <c r="S58" i="34"/>
  <c r="J62" i="29"/>
  <c r="P42" i="33"/>
  <c r="J34" i="34"/>
  <c r="J39" i="34"/>
  <c r="S62" i="19"/>
  <c r="P27" i="33"/>
  <c r="P25" i="34"/>
  <c r="J60" i="34"/>
  <c r="S60" i="32"/>
  <c r="P56" i="33"/>
  <c r="S42" i="34"/>
  <c r="S63" i="25"/>
  <c r="S51" i="33"/>
  <c r="S30" i="34"/>
  <c r="J22" i="34"/>
  <c r="J60" i="12"/>
  <c r="P36" i="33"/>
  <c r="S23" i="34"/>
  <c r="J44" i="34"/>
  <c r="S40" i="32"/>
  <c r="S25" i="32"/>
  <c r="P21" i="34"/>
  <c r="J52" i="33"/>
  <c r="S19" i="34"/>
  <c r="J61" i="11"/>
  <c r="P60" i="33"/>
  <c r="J52" i="34"/>
  <c r="S61" i="20"/>
  <c r="J35" i="32"/>
  <c r="S27" i="33"/>
  <c r="S18" i="33"/>
  <c r="S60" i="5"/>
  <c r="S63" i="5"/>
  <c r="J32" i="34"/>
  <c r="J19" i="33"/>
  <c r="P49" i="33"/>
  <c r="S46" i="32"/>
  <c r="P73" i="28"/>
  <c r="J31" i="33"/>
  <c r="S24" i="34"/>
  <c r="J62" i="7"/>
  <c r="S36" i="33"/>
  <c r="J49" i="33"/>
  <c r="S45" i="33"/>
  <c r="J38" i="34"/>
  <c r="J63" i="17"/>
  <c r="J42" i="33"/>
  <c r="P41" i="33"/>
  <c r="S61" i="13"/>
  <c r="S30" i="33"/>
  <c r="S61" i="31"/>
  <c r="S62" i="31"/>
  <c r="S40" i="33"/>
  <c r="S37" i="34"/>
  <c r="P30" i="34"/>
  <c r="J24" i="33"/>
  <c r="S33" i="32"/>
  <c r="J62" i="5"/>
  <c r="S41" i="32"/>
  <c r="S39" i="33"/>
  <c r="J63" i="19"/>
  <c r="J55" i="32"/>
  <c r="J42" i="32"/>
  <c r="J47" i="33"/>
  <c r="S61" i="7"/>
  <c r="S62" i="12"/>
  <c r="S60" i="33"/>
  <c r="P27" i="34"/>
  <c r="S61" i="11"/>
  <c r="S19" i="33"/>
  <c r="P58" i="33"/>
  <c r="J31" i="34"/>
  <c r="J55" i="34"/>
  <c r="J61" i="20"/>
  <c r="J60" i="28"/>
  <c r="J34" i="32"/>
  <c r="J62" i="20"/>
  <c r="J51" i="33"/>
  <c r="S52" i="33"/>
  <c r="S24" i="32"/>
  <c r="J41" i="32"/>
  <c r="J53" i="32"/>
  <c r="S61" i="10"/>
  <c r="S44" i="32"/>
  <c r="S60" i="13"/>
  <c r="J38" i="33"/>
  <c r="S34" i="32"/>
  <c r="J57" i="33"/>
  <c r="S50" i="33"/>
  <c r="J53" i="34"/>
  <c r="J36" i="34"/>
  <c r="J47" i="34"/>
  <c r="J33" i="32"/>
  <c r="S36" i="32"/>
  <c r="S60" i="17"/>
  <c r="J61" i="29"/>
  <c r="Q63" i="34"/>
  <c r="J44" i="32"/>
  <c r="J62" i="31"/>
  <c r="S30" i="32"/>
  <c r="J37" i="32"/>
  <c r="J60" i="13"/>
  <c r="Q62" i="34"/>
  <c r="S26" i="33"/>
  <c r="S49" i="34"/>
  <c r="J62" i="10"/>
  <c r="P38" i="33"/>
  <c r="S62" i="5"/>
  <c r="J45" i="32"/>
  <c r="J62" i="12"/>
  <c r="S29" i="33"/>
  <c r="J28" i="32"/>
  <c r="S63" i="32"/>
  <c r="S62" i="32"/>
  <c r="J60" i="5"/>
  <c r="S37" i="33"/>
  <c r="J46" i="34"/>
  <c r="J63" i="5"/>
  <c r="J54" i="33"/>
  <c r="S63" i="17"/>
  <c r="S60" i="29"/>
  <c r="Q73" i="34"/>
  <c r="Q68" i="34"/>
  <c r="P70" i="33"/>
  <c r="P65" i="33"/>
  <c r="P64" i="33"/>
  <c r="J60" i="33"/>
  <c r="J25" i="34"/>
  <c r="S61" i="12"/>
  <c r="S33" i="33"/>
  <c r="S54" i="33"/>
  <c r="P52" i="33"/>
  <c r="S38" i="34"/>
  <c r="S61" i="25"/>
  <c r="S47" i="33"/>
  <c r="S26" i="34"/>
  <c r="S19" i="32"/>
  <c r="J44" i="33"/>
  <c r="P26" i="34"/>
  <c r="S62" i="10"/>
  <c r="P37" i="33"/>
  <c r="S38" i="33"/>
  <c r="S61" i="33"/>
  <c r="J54" i="34"/>
  <c r="J60" i="18"/>
  <c r="J58" i="33"/>
  <c r="P57" i="33"/>
  <c r="S32" i="32"/>
  <c r="S35" i="32"/>
  <c r="S24" i="33"/>
  <c r="P29" i="33"/>
  <c r="S56" i="33"/>
  <c r="S53" i="34"/>
  <c r="S46" i="34"/>
  <c r="J53" i="33"/>
  <c r="J36" i="32"/>
  <c r="S54" i="32"/>
  <c r="S61" i="29"/>
  <c r="S31" i="34"/>
  <c r="J24" i="32"/>
  <c r="S56" i="32"/>
  <c r="J61" i="12"/>
  <c r="P59" i="33"/>
  <c r="J62" i="17"/>
  <c r="S34" i="33"/>
  <c r="S59" i="34"/>
  <c r="S63" i="29"/>
  <c r="J59" i="33"/>
  <c r="J61" i="34"/>
  <c r="J62" i="19"/>
  <c r="S63" i="26"/>
  <c r="S28" i="33"/>
  <c r="P51" i="33"/>
  <c r="S53" i="32"/>
  <c r="J60" i="31"/>
  <c r="J32" i="33"/>
  <c r="S21" i="33"/>
  <c r="S51" i="32"/>
  <c r="J51" i="34"/>
  <c r="S60" i="18"/>
  <c r="P19" i="33"/>
  <c r="S59" i="33"/>
  <c r="J62" i="11"/>
  <c r="J58" i="32"/>
  <c r="J62" i="28"/>
  <c r="P43" i="33"/>
  <c r="P44" i="33"/>
  <c r="J40" i="34"/>
  <c r="J62" i="13"/>
  <c r="J25" i="32"/>
  <c r="S21" i="32"/>
  <c r="J49" i="34"/>
  <c r="J20" i="32"/>
  <c r="J28" i="33"/>
  <c r="J60" i="11"/>
  <c r="S49" i="33"/>
  <c r="J42" i="34"/>
  <c r="J61" i="17"/>
  <c r="J46" i="33"/>
  <c r="P45" i="33"/>
  <c r="S21" i="34"/>
  <c r="S54" i="34"/>
  <c r="S57" i="34"/>
  <c r="J56" i="32"/>
  <c r="S57" i="33"/>
  <c r="S61" i="18"/>
  <c r="S61" i="26"/>
  <c r="S62" i="17"/>
  <c r="S28" i="34"/>
  <c r="J26" i="32"/>
  <c r="P31" i="34"/>
  <c r="J18" i="32"/>
  <c r="S22" i="32"/>
  <c r="J61" i="10"/>
  <c r="J34" i="33"/>
  <c r="J50" i="33"/>
  <c r="S43" i="32"/>
  <c r="S51" i="34"/>
  <c r="J35" i="33"/>
  <c r="J18" i="33"/>
  <c r="S60" i="25"/>
  <c r="S63" i="34"/>
  <c r="S63" i="7"/>
  <c r="J61" i="26"/>
  <c r="J46" i="32"/>
  <c r="S61" i="5"/>
  <c r="J25" i="33"/>
  <c r="P53" i="33"/>
  <c r="J23" i="33"/>
  <c r="D21" i="16"/>
  <c r="S63" i="18"/>
  <c r="J18" i="34"/>
  <c r="J61" i="31"/>
  <c r="S61" i="28"/>
  <c r="J38" i="32"/>
  <c r="P62" i="33"/>
  <c r="P23" i="33"/>
  <c r="Q72" i="34"/>
  <c r="P73" i="19"/>
  <c r="Q69" i="34"/>
  <c r="P72" i="33"/>
  <c r="P68" i="33"/>
  <c r="P73" i="25"/>
  <c r="P28" i="33"/>
  <c r="P39" i="33"/>
  <c r="S61" i="34"/>
  <c r="S63" i="28"/>
  <c r="J20" i="33"/>
  <c r="J40" i="33"/>
  <c r="P22" i="34"/>
  <c r="S60" i="10"/>
  <c r="P33" i="33"/>
  <c r="J61" i="33"/>
  <c r="J19" i="32"/>
  <c r="S23" i="33"/>
  <c r="S48" i="33"/>
  <c r="S45" i="34"/>
  <c r="J61" i="25"/>
  <c r="P26" i="33"/>
  <c r="J27" i="33"/>
  <c r="S20" i="34"/>
  <c r="J60" i="7"/>
  <c r="P24" i="33"/>
  <c r="J45" i="33"/>
  <c r="S39" i="32"/>
  <c r="S62" i="7"/>
  <c r="S35" i="34"/>
  <c r="J63" i="20"/>
  <c r="J22" i="33"/>
  <c r="S18" i="34"/>
  <c r="J63" i="26"/>
  <c r="S55" i="32"/>
  <c r="J29" i="32"/>
  <c r="J63" i="25"/>
  <c r="J30" i="34"/>
  <c r="S40" i="34"/>
  <c r="S18" i="32"/>
  <c r="J48" i="32"/>
  <c r="S61" i="32"/>
  <c r="J60" i="32"/>
  <c r="S27" i="32"/>
  <c r="P73" i="31"/>
  <c r="J26" i="34"/>
  <c r="S61" i="17"/>
  <c r="S25" i="33"/>
  <c r="S27" i="34"/>
  <c r="J48" i="34"/>
  <c r="S39" i="34"/>
  <c r="S62" i="26"/>
  <c r="J39" i="33"/>
  <c r="J41" i="34"/>
  <c r="S60" i="34"/>
  <c r="S63" i="13"/>
  <c r="S47" i="32"/>
  <c r="S48" i="32"/>
  <c r="P48" i="33"/>
  <c r="S34" i="34"/>
  <c r="S63" i="20"/>
  <c r="S62" i="28"/>
  <c r="J21" i="33"/>
  <c r="J62" i="32"/>
  <c r="J39" i="32"/>
  <c r="S62" i="33"/>
  <c r="J62" i="34"/>
  <c r="J41" i="33"/>
  <c r="J32" i="32"/>
  <c r="P22" i="33"/>
  <c r="S47" i="34"/>
  <c r="J63" i="18"/>
  <c r="S42" i="32"/>
  <c r="J63" i="12"/>
  <c r="P73" i="32"/>
  <c r="P34" i="33"/>
  <c r="P55" i="33"/>
  <c r="S57" i="32"/>
  <c r="S31" i="33"/>
  <c r="J33" i="33"/>
  <c r="J56" i="33"/>
  <c r="J21" i="34"/>
  <c r="S63" i="33"/>
  <c r="J62" i="25"/>
  <c r="S60" i="28"/>
  <c r="J37" i="34"/>
  <c r="S62" i="29"/>
  <c r="J31" i="32"/>
  <c r="P30" i="33"/>
  <c r="J61" i="7"/>
  <c r="P35" i="33"/>
  <c r="P46" i="33"/>
  <c r="J24" i="34"/>
  <c r="S49" i="32"/>
  <c r="S33" i="34"/>
  <c r="S62" i="34"/>
  <c r="J40" i="32"/>
  <c r="S41" i="33"/>
  <c r="S62" i="13"/>
  <c r="S52" i="34"/>
  <c r="S26" i="32"/>
  <c r="J63" i="33"/>
  <c r="S29" i="32"/>
  <c r="S53" i="33"/>
  <c r="J43" i="32"/>
  <c r="J59" i="32"/>
  <c r="S45" i="32"/>
  <c r="S22" i="34"/>
  <c r="N61" i="11" l="1"/>
  <c r="O63" i="19"/>
  <c r="N60" i="11"/>
  <c r="R73" i="31"/>
  <c r="I73" i="31" s="1"/>
  <c r="O63" i="25"/>
  <c r="N61" i="26"/>
  <c r="O60" i="25"/>
  <c r="O60" i="26"/>
  <c r="O61" i="25"/>
  <c r="O62" i="25"/>
  <c r="N62" i="17"/>
  <c r="O63" i="11"/>
  <c r="O62" i="10"/>
  <c r="O61" i="29"/>
  <c r="N61" i="29"/>
  <c r="N7" i="34"/>
  <c r="O7" i="34"/>
  <c r="O5" i="34"/>
  <c r="N91" i="2"/>
  <c r="O90" i="2"/>
  <c r="O91" i="2"/>
  <c r="N62" i="12"/>
  <c r="N62" i="29"/>
  <c r="O9" i="34"/>
  <c r="N89" i="2"/>
  <c r="N84" i="2"/>
  <c r="N88" i="2"/>
  <c r="N90" i="2"/>
  <c r="N87" i="2"/>
  <c r="O89" i="2"/>
  <c r="O88" i="2"/>
  <c r="O87" i="2"/>
  <c r="O86" i="2"/>
  <c r="N85" i="2"/>
  <c r="N86" i="2"/>
  <c r="O85" i="2"/>
  <c r="O84" i="2"/>
  <c r="O83" i="2"/>
  <c r="H36" i="34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66" i="34" s="1"/>
  <c r="H67" i="34" s="1"/>
  <c r="H68" i="34" s="1"/>
  <c r="H69" i="34" s="1"/>
  <c r="H70" i="34" s="1"/>
  <c r="H71" i="34" s="1"/>
  <c r="H72" i="34" s="1"/>
  <c r="H73" i="34" s="1"/>
  <c r="O17" i="34"/>
  <c r="O15" i="34"/>
  <c r="O13" i="34"/>
  <c r="O11" i="34"/>
  <c r="O18" i="34"/>
  <c r="O19" i="34"/>
  <c r="O21" i="34"/>
  <c r="O23" i="34"/>
  <c r="O25" i="34"/>
  <c r="O27" i="34"/>
  <c r="O29" i="34"/>
  <c r="O31" i="34"/>
  <c r="O6" i="34"/>
  <c r="O8" i="34"/>
  <c r="O10" i="34"/>
  <c r="O12" i="34"/>
  <c r="O14" i="34"/>
  <c r="O16" i="34"/>
  <c r="N34" i="34"/>
  <c r="O20" i="34"/>
  <c r="O22" i="34"/>
  <c r="O24" i="34"/>
  <c r="O26" i="34"/>
  <c r="O28" i="34"/>
  <c r="O30" i="34"/>
  <c r="N32" i="34"/>
  <c r="N60" i="29"/>
  <c r="K6" i="34"/>
  <c r="K7" i="34"/>
  <c r="K9" i="34"/>
  <c r="K11" i="34"/>
  <c r="K14" i="34"/>
  <c r="K16" i="34"/>
  <c r="L5" i="34"/>
  <c r="L8" i="34"/>
  <c r="L10" i="34"/>
  <c r="L12" i="34"/>
  <c r="L13" i="34"/>
  <c r="L15" i="34"/>
  <c r="L17" i="34"/>
  <c r="K33" i="34"/>
  <c r="L33" i="34"/>
  <c r="K34" i="34"/>
  <c r="L34" i="34"/>
  <c r="K35" i="34"/>
  <c r="L35" i="34"/>
  <c r="K18" i="34"/>
  <c r="L18" i="34"/>
  <c r="L19" i="34"/>
  <c r="K19" i="34"/>
  <c r="K20" i="34"/>
  <c r="L20" i="34"/>
  <c r="L21" i="34"/>
  <c r="K21" i="34"/>
  <c r="L22" i="34"/>
  <c r="K22" i="34"/>
  <c r="L23" i="34"/>
  <c r="K23" i="34"/>
  <c r="L24" i="34"/>
  <c r="K24" i="34"/>
  <c r="L25" i="34"/>
  <c r="K25" i="34"/>
  <c r="L26" i="34"/>
  <c r="K26" i="34"/>
  <c r="L27" i="34"/>
  <c r="K27" i="34"/>
  <c r="L28" i="34"/>
  <c r="K28" i="34"/>
  <c r="L29" i="34"/>
  <c r="K29" i="34"/>
  <c r="L30" i="34"/>
  <c r="K30" i="34"/>
  <c r="L31" i="34"/>
  <c r="K31" i="34"/>
  <c r="K32" i="34"/>
  <c r="L32" i="34"/>
  <c r="K36" i="34"/>
  <c r="L36" i="34"/>
  <c r="K37" i="34"/>
  <c r="L37" i="34"/>
  <c r="K38" i="34"/>
  <c r="L38" i="34"/>
  <c r="L39" i="34"/>
  <c r="K39" i="34"/>
  <c r="L40" i="34"/>
  <c r="K40" i="34"/>
  <c r="L41" i="34"/>
  <c r="K41" i="34"/>
  <c r="L42" i="34"/>
  <c r="K42" i="34"/>
  <c r="L43" i="34"/>
  <c r="K43" i="34"/>
  <c r="L44" i="34"/>
  <c r="K44" i="34"/>
  <c r="L45" i="34"/>
  <c r="K45" i="34"/>
  <c r="L46" i="34"/>
  <c r="K46" i="34"/>
  <c r="L47" i="34"/>
  <c r="K47" i="34"/>
  <c r="L48" i="34"/>
  <c r="K48" i="34"/>
  <c r="L49" i="34"/>
  <c r="K49" i="34"/>
  <c r="L50" i="34"/>
  <c r="K50" i="34"/>
  <c r="L51" i="34"/>
  <c r="K51" i="34"/>
  <c r="L52" i="34"/>
  <c r="K52" i="34"/>
  <c r="L53" i="34"/>
  <c r="K53" i="34"/>
  <c r="L54" i="34"/>
  <c r="K54" i="34"/>
  <c r="L55" i="34"/>
  <c r="K55" i="34"/>
  <c r="L56" i="34"/>
  <c r="K56" i="34"/>
  <c r="L57" i="34"/>
  <c r="K57" i="34"/>
  <c r="L58" i="34"/>
  <c r="K58" i="34"/>
  <c r="L59" i="34"/>
  <c r="K59" i="34"/>
  <c r="L60" i="34"/>
  <c r="K60" i="34"/>
  <c r="L61" i="34"/>
  <c r="K61" i="34"/>
  <c r="L62" i="34"/>
  <c r="K62" i="34"/>
  <c r="L63" i="34"/>
  <c r="K63" i="34"/>
  <c r="O40" i="34"/>
  <c r="N40" i="34"/>
  <c r="O44" i="34"/>
  <c r="N44" i="34"/>
  <c r="O48" i="34"/>
  <c r="N48" i="34"/>
  <c r="N35" i="34"/>
  <c r="O36" i="34"/>
  <c r="N36" i="34"/>
  <c r="O38" i="34"/>
  <c r="N38" i="34"/>
  <c r="O39" i="34"/>
  <c r="N39" i="34"/>
  <c r="O43" i="34"/>
  <c r="N43" i="34"/>
  <c r="O47" i="34"/>
  <c r="N47" i="34"/>
  <c r="S74" i="34"/>
  <c r="O42" i="34"/>
  <c r="N42" i="34"/>
  <c r="O46" i="34"/>
  <c r="N46" i="34"/>
  <c r="N33" i="34"/>
  <c r="O37" i="34"/>
  <c r="N37" i="34"/>
  <c r="O41" i="34"/>
  <c r="N41" i="34"/>
  <c r="O45" i="34"/>
  <c r="N45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83" i="2"/>
  <c r="O82" i="2"/>
  <c r="N82" i="2"/>
  <c r="N81" i="2"/>
  <c r="O81" i="2"/>
  <c r="N78" i="2"/>
  <c r="O31" i="33"/>
  <c r="O30" i="33"/>
  <c r="O28" i="33"/>
  <c r="O29" i="33"/>
  <c r="O27" i="33"/>
  <c r="O26" i="33"/>
  <c r="O25" i="33"/>
  <c r="O24" i="33"/>
  <c r="O23" i="33"/>
  <c r="O22" i="33"/>
  <c r="O20" i="33"/>
  <c r="O21" i="33"/>
  <c r="O15" i="33"/>
  <c r="O11" i="33"/>
  <c r="O7" i="33"/>
  <c r="O9" i="33"/>
  <c r="O17" i="33"/>
  <c r="O34" i="33"/>
  <c r="O36" i="33"/>
  <c r="O38" i="33"/>
  <c r="O40" i="33"/>
  <c r="O42" i="33"/>
  <c r="O44" i="33"/>
  <c r="O46" i="33"/>
  <c r="O48" i="33"/>
  <c r="O50" i="33"/>
  <c r="O52" i="33"/>
  <c r="O54" i="33"/>
  <c r="O56" i="33"/>
  <c r="O58" i="33"/>
  <c r="O60" i="33"/>
  <c r="O62" i="33"/>
  <c r="O5" i="33"/>
  <c r="O13" i="33"/>
  <c r="O33" i="33"/>
  <c r="O35" i="33"/>
  <c r="O37" i="33"/>
  <c r="O39" i="33"/>
  <c r="O41" i="33"/>
  <c r="O43" i="33"/>
  <c r="O45" i="33"/>
  <c r="O47" i="33"/>
  <c r="O49" i="33"/>
  <c r="O51" i="33"/>
  <c r="O53" i="33"/>
  <c r="O55" i="33"/>
  <c r="O57" i="33"/>
  <c r="O59" i="33"/>
  <c r="O61" i="33"/>
  <c r="O63" i="33"/>
  <c r="L5" i="33"/>
  <c r="K7" i="33"/>
  <c r="K9" i="33"/>
  <c r="K11" i="33"/>
  <c r="K13" i="33"/>
  <c r="K15" i="33"/>
  <c r="K17" i="33"/>
  <c r="K6" i="33"/>
  <c r="K8" i="33"/>
  <c r="K10" i="33"/>
  <c r="K12" i="33"/>
  <c r="K14" i="33"/>
  <c r="K16" i="33"/>
  <c r="L18" i="33"/>
  <c r="K18" i="33"/>
  <c r="K19" i="33"/>
  <c r="L19" i="33"/>
  <c r="L20" i="33"/>
  <c r="K20" i="33"/>
  <c r="L21" i="33"/>
  <c r="K21" i="33"/>
  <c r="L22" i="33"/>
  <c r="K22" i="33"/>
  <c r="K23" i="33"/>
  <c r="L23" i="33"/>
  <c r="L24" i="33"/>
  <c r="K24" i="33"/>
  <c r="L25" i="33"/>
  <c r="K25" i="33"/>
  <c r="L26" i="33"/>
  <c r="K26" i="33"/>
  <c r="K27" i="33"/>
  <c r="L27" i="33"/>
  <c r="L28" i="33"/>
  <c r="K28" i="33"/>
  <c r="L29" i="33"/>
  <c r="K29" i="33"/>
  <c r="L30" i="33"/>
  <c r="K30" i="33"/>
  <c r="K31" i="33"/>
  <c r="L31" i="33"/>
  <c r="L32" i="33"/>
  <c r="K32" i="33"/>
  <c r="L33" i="33"/>
  <c r="K33" i="33"/>
  <c r="L34" i="33"/>
  <c r="K34" i="33"/>
  <c r="L35" i="33"/>
  <c r="K35" i="33"/>
  <c r="L36" i="33"/>
  <c r="K36" i="33"/>
  <c r="K37" i="33"/>
  <c r="L37" i="33"/>
  <c r="K38" i="33"/>
  <c r="L38" i="33"/>
  <c r="K39" i="33"/>
  <c r="L39" i="33"/>
  <c r="L40" i="33"/>
  <c r="K40" i="33"/>
  <c r="L41" i="33"/>
  <c r="K41" i="33"/>
  <c r="L42" i="33"/>
  <c r="K42" i="33"/>
  <c r="L43" i="33"/>
  <c r="K43" i="33"/>
  <c r="L44" i="33"/>
  <c r="K44" i="33"/>
  <c r="L45" i="33"/>
  <c r="K45" i="33"/>
  <c r="L46" i="33"/>
  <c r="K46" i="33"/>
  <c r="L47" i="33"/>
  <c r="K47" i="33"/>
  <c r="L48" i="33"/>
  <c r="K48" i="33"/>
  <c r="L49" i="33"/>
  <c r="K49" i="33"/>
  <c r="L50" i="33"/>
  <c r="K50" i="33"/>
  <c r="L51" i="33"/>
  <c r="K51" i="33"/>
  <c r="L52" i="33"/>
  <c r="K52" i="33"/>
  <c r="L53" i="33"/>
  <c r="K53" i="33"/>
  <c r="L54" i="33"/>
  <c r="K54" i="33"/>
  <c r="L55" i="33"/>
  <c r="K55" i="33"/>
  <c r="L56" i="33"/>
  <c r="K56" i="33"/>
  <c r="L57" i="33"/>
  <c r="K57" i="33"/>
  <c r="L58" i="33"/>
  <c r="K58" i="33"/>
  <c r="L59" i="33"/>
  <c r="K59" i="33"/>
  <c r="L60" i="33"/>
  <c r="K60" i="33"/>
  <c r="L61" i="33"/>
  <c r="K61" i="33"/>
  <c r="L62" i="33"/>
  <c r="K62" i="33"/>
  <c r="L63" i="33"/>
  <c r="K63" i="33"/>
  <c r="O18" i="33"/>
  <c r="O6" i="33"/>
  <c r="O8" i="33"/>
  <c r="O10" i="33"/>
  <c r="O12" i="33"/>
  <c r="O14" i="33"/>
  <c r="O16" i="33"/>
  <c r="O19" i="33"/>
  <c r="S74" i="33"/>
  <c r="O32" i="33"/>
  <c r="O76" i="2"/>
  <c r="N80" i="2"/>
  <c r="O80" i="2"/>
  <c r="N79" i="2"/>
  <c r="O79" i="2"/>
  <c r="O78" i="2"/>
  <c r="N76" i="2"/>
  <c r="O77" i="2"/>
  <c r="N77" i="2"/>
  <c r="K62" i="31"/>
  <c r="L62" i="31"/>
  <c r="K63" i="31"/>
  <c r="L63" i="31"/>
  <c r="K61" i="31"/>
  <c r="L61" i="31"/>
  <c r="K60" i="31"/>
  <c r="L60" i="31"/>
  <c r="O63" i="29"/>
  <c r="L63" i="29"/>
  <c r="K63" i="29"/>
  <c r="K62" i="29"/>
  <c r="L62" i="29"/>
  <c r="K61" i="29"/>
  <c r="L61" i="29"/>
  <c r="K60" i="29"/>
  <c r="L60" i="29"/>
  <c r="K62" i="28"/>
  <c r="L62" i="28"/>
  <c r="K61" i="28"/>
  <c r="L61" i="28"/>
  <c r="K63" i="28"/>
  <c r="L63" i="28"/>
  <c r="K60" i="28"/>
  <c r="L60" i="28"/>
  <c r="O63" i="28"/>
  <c r="K63" i="26"/>
  <c r="L63" i="26"/>
  <c r="K61" i="26"/>
  <c r="L61" i="26"/>
  <c r="K62" i="26"/>
  <c r="L62" i="26"/>
  <c r="K60" i="26"/>
  <c r="L60" i="26"/>
  <c r="K62" i="25"/>
  <c r="L62" i="25"/>
  <c r="K61" i="25"/>
  <c r="L61" i="25"/>
  <c r="K63" i="25"/>
  <c r="L63" i="25"/>
  <c r="K60" i="25"/>
  <c r="L60" i="25"/>
  <c r="O63" i="20"/>
  <c r="K62" i="20"/>
  <c r="L62" i="20"/>
  <c r="K63" i="20"/>
  <c r="L63" i="20"/>
  <c r="K61" i="20"/>
  <c r="L61" i="20"/>
  <c r="K60" i="20"/>
  <c r="L60" i="20"/>
  <c r="O62" i="19"/>
  <c r="K62" i="19"/>
  <c r="L62" i="19"/>
  <c r="K61" i="19"/>
  <c r="L61" i="19"/>
  <c r="K63" i="19"/>
  <c r="L63" i="19"/>
  <c r="K60" i="19"/>
  <c r="L60" i="19"/>
  <c r="O63" i="18"/>
  <c r="K63" i="18"/>
  <c r="L63" i="18"/>
  <c r="K62" i="18"/>
  <c r="L62" i="18"/>
  <c r="K61" i="18"/>
  <c r="L61" i="18"/>
  <c r="K60" i="18"/>
  <c r="L60" i="18"/>
  <c r="O63" i="17"/>
  <c r="K62" i="17"/>
  <c r="L62" i="17"/>
  <c r="K63" i="17"/>
  <c r="L63" i="17"/>
  <c r="K61" i="17"/>
  <c r="L61" i="17"/>
  <c r="K60" i="17"/>
  <c r="L60" i="17"/>
  <c r="N63" i="13"/>
  <c r="O62" i="13"/>
  <c r="K63" i="13"/>
  <c r="L63" i="13"/>
  <c r="L62" i="13"/>
  <c r="K62" i="13"/>
  <c r="K61" i="13"/>
  <c r="L61" i="13"/>
  <c r="K60" i="13"/>
  <c r="L60" i="13"/>
  <c r="O63" i="12"/>
  <c r="O61" i="12"/>
  <c r="L63" i="12"/>
  <c r="K63" i="12"/>
  <c r="K62" i="12"/>
  <c r="L62" i="12"/>
  <c r="K61" i="12"/>
  <c r="L61" i="12"/>
  <c r="K60" i="12"/>
  <c r="L60" i="12"/>
  <c r="N62" i="11"/>
  <c r="K63" i="11"/>
  <c r="L63" i="11"/>
  <c r="K62" i="11"/>
  <c r="L62" i="11"/>
  <c r="K61" i="11"/>
  <c r="L61" i="11"/>
  <c r="K60" i="11"/>
  <c r="L60" i="11"/>
  <c r="O63" i="10"/>
  <c r="O60" i="10"/>
  <c r="L62" i="10"/>
  <c r="K62" i="10"/>
  <c r="L61" i="10"/>
  <c r="K61" i="10"/>
  <c r="L63" i="10"/>
  <c r="K63" i="10"/>
  <c r="N61" i="10"/>
  <c r="L60" i="10"/>
  <c r="K60" i="10"/>
  <c r="O63" i="5"/>
  <c r="N62" i="5"/>
  <c r="L62" i="5"/>
  <c r="K62" i="5"/>
  <c r="L61" i="5"/>
  <c r="K61" i="5"/>
  <c r="L63" i="5"/>
  <c r="K63" i="5"/>
  <c r="N61" i="5"/>
  <c r="O60" i="5"/>
  <c r="L60" i="5"/>
  <c r="K60" i="5"/>
  <c r="O63" i="7"/>
  <c r="O62" i="7"/>
  <c r="L63" i="7"/>
  <c r="K63" i="7"/>
  <c r="O61" i="7"/>
  <c r="L62" i="7"/>
  <c r="K62" i="7"/>
  <c r="L61" i="7"/>
  <c r="K61" i="7"/>
  <c r="O60" i="7"/>
  <c r="L60" i="7"/>
  <c r="K60" i="7"/>
  <c r="O63" i="32"/>
  <c r="O62" i="32"/>
  <c r="L63" i="32"/>
  <c r="K63" i="32"/>
  <c r="O61" i="32"/>
  <c r="L62" i="32"/>
  <c r="K62" i="32"/>
  <c r="O60" i="32"/>
  <c r="L61" i="32"/>
  <c r="K61" i="32"/>
  <c r="L60" i="32"/>
  <c r="K60" i="32"/>
  <c r="O34" i="32"/>
  <c r="O30" i="32"/>
  <c r="O31" i="32"/>
  <c r="L18" i="32"/>
  <c r="K18" i="32"/>
  <c r="L19" i="32"/>
  <c r="K19" i="32"/>
  <c r="L20" i="32"/>
  <c r="K20" i="32"/>
  <c r="L21" i="32"/>
  <c r="K21" i="32"/>
  <c r="L22" i="32"/>
  <c r="K22" i="32"/>
  <c r="L23" i="32"/>
  <c r="K23" i="32"/>
  <c r="L24" i="32"/>
  <c r="K24" i="32"/>
  <c r="L25" i="32"/>
  <c r="K25" i="32"/>
  <c r="L26" i="32"/>
  <c r="K26" i="32"/>
  <c r="L27" i="32"/>
  <c r="K27" i="32"/>
  <c r="L28" i="32"/>
  <c r="K28" i="32"/>
  <c r="K29" i="32"/>
  <c r="L29" i="32"/>
  <c r="L30" i="32"/>
  <c r="K30" i="32"/>
  <c r="L31" i="32"/>
  <c r="K31" i="32"/>
  <c r="L32" i="32"/>
  <c r="K32" i="32"/>
  <c r="K33" i="32"/>
  <c r="L33" i="32"/>
  <c r="L34" i="32"/>
  <c r="K34" i="32"/>
  <c r="L35" i="32"/>
  <c r="K35" i="32"/>
  <c r="L36" i="32"/>
  <c r="K36" i="32"/>
  <c r="L37" i="32"/>
  <c r="K37" i="32"/>
  <c r="L38" i="32"/>
  <c r="K38" i="32"/>
  <c r="L39" i="32"/>
  <c r="K39" i="32"/>
  <c r="L40" i="32"/>
  <c r="K40" i="32"/>
  <c r="L41" i="32"/>
  <c r="K41" i="32"/>
  <c r="L42" i="32"/>
  <c r="K42" i="32"/>
  <c r="L43" i="32"/>
  <c r="K43" i="32"/>
  <c r="L44" i="32"/>
  <c r="K44" i="32"/>
  <c r="L45" i="32"/>
  <c r="K45" i="32"/>
  <c r="L46" i="32"/>
  <c r="K46" i="32"/>
  <c r="L47" i="32"/>
  <c r="K47" i="32"/>
  <c r="L48" i="32"/>
  <c r="K48" i="32"/>
  <c r="L49" i="32"/>
  <c r="K49" i="32"/>
  <c r="L50" i="32"/>
  <c r="K50" i="32"/>
  <c r="L51" i="32"/>
  <c r="K51" i="32"/>
  <c r="L52" i="32"/>
  <c r="K52" i="32"/>
  <c r="L53" i="32"/>
  <c r="K53" i="32"/>
  <c r="L54" i="32"/>
  <c r="K54" i="32"/>
  <c r="L55" i="32"/>
  <c r="K55" i="32"/>
  <c r="L56" i="32"/>
  <c r="K56" i="32"/>
  <c r="L57" i="32"/>
  <c r="K57" i="32"/>
  <c r="L58" i="32"/>
  <c r="K58" i="32"/>
  <c r="L59" i="32"/>
  <c r="K59" i="32"/>
  <c r="O9" i="32"/>
  <c r="N9" i="32"/>
  <c r="N8" i="32"/>
  <c r="O8" i="32"/>
  <c r="O12" i="32"/>
  <c r="N12" i="32"/>
  <c r="O16" i="32"/>
  <c r="N16" i="32"/>
  <c r="O21" i="32"/>
  <c r="N21" i="32"/>
  <c r="O25" i="32"/>
  <c r="N25" i="32"/>
  <c r="O41" i="32"/>
  <c r="N41" i="32"/>
  <c r="O13" i="32"/>
  <c r="N13" i="32"/>
  <c r="O17" i="32"/>
  <c r="N17" i="32"/>
  <c r="O22" i="32"/>
  <c r="N22" i="32"/>
  <c r="N7" i="32"/>
  <c r="O7" i="32"/>
  <c r="O11" i="32"/>
  <c r="N11" i="32"/>
  <c r="O15" i="32"/>
  <c r="N15" i="32"/>
  <c r="O18" i="32"/>
  <c r="N18" i="32"/>
  <c r="O20" i="32"/>
  <c r="N20" i="32"/>
  <c r="O24" i="32"/>
  <c r="N24" i="32"/>
  <c r="N28" i="32"/>
  <c r="O28" i="32"/>
  <c r="N5" i="32"/>
  <c r="O5" i="32"/>
  <c r="O26" i="32"/>
  <c r="N26" i="32"/>
  <c r="O6" i="32"/>
  <c r="N6" i="32"/>
  <c r="O10" i="32"/>
  <c r="N10" i="32"/>
  <c r="O14" i="32"/>
  <c r="N14" i="32"/>
  <c r="O19" i="32"/>
  <c r="N19" i="32"/>
  <c r="O23" i="32"/>
  <c r="N23" i="32"/>
  <c r="O27" i="32"/>
  <c r="N27" i="32"/>
  <c r="N32" i="32"/>
  <c r="O32" i="32"/>
  <c r="O37" i="32"/>
  <c r="N37" i="32"/>
  <c r="O36" i="32"/>
  <c r="N36" i="32"/>
  <c r="O40" i="32"/>
  <c r="N40" i="32"/>
  <c r="O44" i="32"/>
  <c r="N44" i="32"/>
  <c r="O48" i="32"/>
  <c r="N48" i="32"/>
  <c r="O52" i="32"/>
  <c r="N52" i="32"/>
  <c r="O56" i="32"/>
  <c r="N56" i="32"/>
  <c r="O53" i="32"/>
  <c r="N53" i="32"/>
  <c r="O57" i="32"/>
  <c r="N57" i="32"/>
  <c r="K5" i="32"/>
  <c r="S74" i="32"/>
  <c r="K6" i="32"/>
  <c r="K7" i="32"/>
  <c r="K8" i="32"/>
  <c r="K9" i="32"/>
  <c r="K10" i="32"/>
  <c r="K11" i="32"/>
  <c r="K12" i="32"/>
  <c r="K13" i="32"/>
  <c r="K14" i="32"/>
  <c r="K15" i="32"/>
  <c r="K16" i="32"/>
  <c r="K17" i="32"/>
  <c r="O29" i="32"/>
  <c r="O33" i="32"/>
  <c r="O35" i="32"/>
  <c r="N35" i="32"/>
  <c r="O39" i="32"/>
  <c r="N39" i="32"/>
  <c r="O43" i="32"/>
  <c r="N43" i="32"/>
  <c r="O47" i="32"/>
  <c r="N47" i="32"/>
  <c r="O51" i="32"/>
  <c r="N51" i="32"/>
  <c r="O55" i="32"/>
  <c r="N55" i="32"/>
  <c r="O59" i="32"/>
  <c r="N59" i="32"/>
  <c r="O45" i="32"/>
  <c r="N45" i="32"/>
  <c r="O49" i="32"/>
  <c r="N49" i="32"/>
  <c r="O38" i="32"/>
  <c r="N38" i="32"/>
  <c r="O42" i="32"/>
  <c r="N42" i="32"/>
  <c r="O46" i="32"/>
  <c r="N46" i="32"/>
  <c r="O50" i="32"/>
  <c r="N50" i="32"/>
  <c r="O54" i="32"/>
  <c r="N54" i="32"/>
  <c r="O58" i="32"/>
  <c r="N58" i="32"/>
  <c r="AH29" i="16"/>
  <c r="AK29" i="16" s="1"/>
  <c r="AG11" i="16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H75" i="2"/>
  <c r="I75" i="2"/>
  <c r="J75" i="2"/>
  <c r="K75" i="2"/>
  <c r="L75" i="2"/>
  <c r="M75" i="2"/>
  <c r="P75" i="2"/>
  <c r="Q75" i="2"/>
  <c r="R75" i="2"/>
  <c r="S75" i="2"/>
  <c r="AH30" i="16"/>
  <c r="AK30" i="16" s="1"/>
  <c r="AH31" i="16"/>
  <c r="AK31" i="16" s="1"/>
  <c r="C19" i="16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H74" i="2"/>
  <c r="I74" i="2"/>
  <c r="J74" i="2"/>
  <c r="K74" i="2"/>
  <c r="L74" i="2"/>
  <c r="M74" i="2"/>
  <c r="P74" i="2"/>
  <c r="Q74" i="2"/>
  <c r="R74" i="2"/>
  <c r="S74" i="2"/>
  <c r="H73" i="2"/>
  <c r="I73" i="2"/>
  <c r="J73" i="2"/>
  <c r="K73" i="2"/>
  <c r="L73" i="2"/>
  <c r="M73" i="2"/>
  <c r="P73" i="2"/>
  <c r="Q73" i="2"/>
  <c r="R73" i="2"/>
  <c r="S73" i="2"/>
  <c r="O28" i="4"/>
  <c r="M59" i="31"/>
  <c r="N59" i="31" s="1"/>
  <c r="M58" i="31"/>
  <c r="N58" i="31" s="1"/>
  <c r="M57" i="31"/>
  <c r="N57" i="31" s="1"/>
  <c r="M56" i="31"/>
  <c r="N56" i="31" s="1"/>
  <c r="M55" i="31"/>
  <c r="N55" i="31" s="1"/>
  <c r="M59" i="29"/>
  <c r="N59" i="29" s="1"/>
  <c r="M58" i="29"/>
  <c r="N58" i="29" s="1"/>
  <c r="M57" i="29"/>
  <c r="O57" i="29" s="1"/>
  <c r="M56" i="29"/>
  <c r="N56" i="29" s="1"/>
  <c r="M55" i="29"/>
  <c r="N55" i="29" s="1"/>
  <c r="M59" i="28"/>
  <c r="N59" i="28" s="1"/>
  <c r="M58" i="28"/>
  <c r="O58" i="28" s="1"/>
  <c r="M57" i="28"/>
  <c r="N57" i="28" s="1"/>
  <c r="M56" i="28"/>
  <c r="N56" i="28" s="1"/>
  <c r="M55" i="28"/>
  <c r="O55" i="28" s="1"/>
  <c r="M59" i="26"/>
  <c r="N59" i="26" s="1"/>
  <c r="M58" i="26"/>
  <c r="O58" i="26" s="1"/>
  <c r="M57" i="26"/>
  <c r="N57" i="26" s="1"/>
  <c r="M56" i="26"/>
  <c r="N56" i="26" s="1"/>
  <c r="M55" i="26"/>
  <c r="N55" i="26" s="1"/>
  <c r="M59" i="25"/>
  <c r="N59" i="25" s="1"/>
  <c r="M58" i="25"/>
  <c r="N58" i="25" s="1"/>
  <c r="M57" i="25"/>
  <c r="O57" i="25" s="1"/>
  <c r="M56" i="25"/>
  <c r="N56" i="25" s="1"/>
  <c r="M55" i="25"/>
  <c r="N55" i="25" s="1"/>
  <c r="M59" i="20"/>
  <c r="N59" i="20" s="1"/>
  <c r="M58" i="20"/>
  <c r="N58" i="20" s="1"/>
  <c r="M57" i="20"/>
  <c r="O57" i="20" s="1"/>
  <c r="M56" i="20"/>
  <c r="N56" i="20" s="1"/>
  <c r="M55" i="20"/>
  <c r="N55" i="20" s="1"/>
  <c r="M59" i="19"/>
  <c r="N59" i="19" s="1"/>
  <c r="M58" i="19"/>
  <c r="O58" i="19" s="1"/>
  <c r="M57" i="19"/>
  <c r="O57" i="19" s="1"/>
  <c r="M56" i="19"/>
  <c r="N56" i="19" s="1"/>
  <c r="M55" i="19"/>
  <c r="N55" i="19" s="1"/>
  <c r="M59" i="18"/>
  <c r="N59" i="18" s="1"/>
  <c r="M58" i="18"/>
  <c r="N58" i="18" s="1"/>
  <c r="M57" i="18"/>
  <c r="N57" i="18" s="1"/>
  <c r="M56" i="18"/>
  <c r="O56" i="18" s="1"/>
  <c r="M55" i="18"/>
  <c r="N55" i="18" s="1"/>
  <c r="M59" i="17"/>
  <c r="N59" i="17" s="1"/>
  <c r="M58" i="17"/>
  <c r="N58" i="17" s="1"/>
  <c r="M57" i="17"/>
  <c r="N57" i="17" s="1"/>
  <c r="M56" i="17"/>
  <c r="N56" i="17" s="1"/>
  <c r="Q73" i="11"/>
  <c r="P73" i="34"/>
  <c r="Q73" i="33"/>
  <c r="Q73" i="18"/>
  <c r="Q73" i="10"/>
  <c r="P67" i="34"/>
  <c r="Q71" i="33"/>
  <c r="Q67" i="33"/>
  <c r="Q73" i="28"/>
  <c r="P72" i="25"/>
  <c r="Q67" i="32"/>
  <c r="Q52" i="33"/>
  <c r="P56" i="32"/>
  <c r="Q27" i="33"/>
  <c r="P70" i="32"/>
  <c r="P72" i="20"/>
  <c r="P68" i="32"/>
  <c r="Q26" i="33"/>
  <c r="D19" i="16"/>
  <c r="J58" i="28"/>
  <c r="P42" i="32"/>
  <c r="P19" i="34"/>
  <c r="Q45" i="34"/>
  <c r="P53" i="32"/>
  <c r="Q51" i="32"/>
  <c r="Q19" i="34"/>
  <c r="Q31" i="34"/>
  <c r="S56" i="19"/>
  <c r="P69" i="32"/>
  <c r="Q28" i="32"/>
  <c r="P57" i="34"/>
  <c r="J55" i="20"/>
  <c r="P36" i="34"/>
  <c r="Q59" i="32"/>
  <c r="Q68" i="32"/>
  <c r="Q35" i="32"/>
  <c r="J55" i="29"/>
  <c r="Q55" i="34"/>
  <c r="P40" i="34"/>
  <c r="Q37" i="33"/>
  <c r="P40" i="32"/>
  <c r="P61" i="32"/>
  <c r="P38" i="34"/>
  <c r="Q27" i="32"/>
  <c r="Q39" i="32"/>
  <c r="J56" i="17"/>
  <c r="P42" i="34"/>
  <c r="J59" i="31"/>
  <c r="Q48" i="32"/>
  <c r="Q40" i="34"/>
  <c r="J55" i="26"/>
  <c r="Q55" i="32"/>
  <c r="P30" i="32"/>
  <c r="J55" i="28"/>
  <c r="Q54" i="33"/>
  <c r="P34" i="32"/>
  <c r="P70" i="34"/>
  <c r="Q73" i="17"/>
  <c r="Q73" i="12"/>
  <c r="P65" i="34"/>
  <c r="P68" i="34"/>
  <c r="Q70" i="33"/>
  <c r="Q69" i="33"/>
  <c r="Q73" i="32"/>
  <c r="P71" i="18"/>
  <c r="Q66" i="32"/>
  <c r="P24" i="32"/>
  <c r="P47" i="34"/>
  <c r="P73" i="26"/>
  <c r="P71" i="31"/>
  <c r="P70" i="18"/>
  <c r="Q65" i="32"/>
  <c r="P32" i="32"/>
  <c r="P44" i="34"/>
  <c r="Q61" i="33"/>
  <c r="Q36" i="34"/>
  <c r="J57" i="25"/>
  <c r="S58" i="25"/>
  <c r="Q28" i="33"/>
  <c r="P38" i="32"/>
  <c r="Q25" i="33"/>
  <c r="Q34" i="34"/>
  <c r="Q38" i="32"/>
  <c r="P59" i="32"/>
  <c r="Q49" i="33"/>
  <c r="J56" i="19"/>
  <c r="P39" i="34"/>
  <c r="Q47" i="32"/>
  <c r="Q53" i="33"/>
  <c r="Q50" i="34"/>
  <c r="P51" i="32"/>
  <c r="P59" i="34"/>
  <c r="J58" i="18"/>
  <c r="S57" i="18"/>
  <c r="S57" i="19"/>
  <c r="J57" i="26"/>
  <c r="S57" i="31"/>
  <c r="P35" i="34"/>
  <c r="Q52" i="34"/>
  <c r="J58" i="17"/>
  <c r="P70" i="31"/>
  <c r="P72" i="19"/>
  <c r="P64" i="32"/>
  <c r="Q37" i="32"/>
  <c r="Q43" i="34"/>
  <c r="Q20" i="34"/>
  <c r="Q33" i="34"/>
  <c r="J59" i="29"/>
  <c r="P67" i="32"/>
  <c r="J58" i="26"/>
  <c r="P29" i="32"/>
  <c r="Q23" i="32"/>
  <c r="Q61" i="32"/>
  <c r="J59" i="17"/>
  <c r="P44" i="32"/>
  <c r="Q40" i="32"/>
  <c r="P73" i="12"/>
  <c r="P71" i="34"/>
  <c r="Q73" i="20"/>
  <c r="P73" i="13"/>
  <c r="P73" i="5"/>
  <c r="P69" i="34"/>
  <c r="P64" i="34"/>
  <c r="Q68" i="33"/>
  <c r="Q66" i="33"/>
  <c r="Q70" i="32"/>
  <c r="P72" i="17"/>
  <c r="P69" i="31"/>
  <c r="S58" i="28"/>
  <c r="Q51" i="34"/>
  <c r="Q73" i="29"/>
  <c r="P72" i="29"/>
  <c r="P71" i="17"/>
  <c r="P68" i="31"/>
  <c r="S56" i="17"/>
  <c r="Q24" i="33"/>
  <c r="Q58" i="32"/>
  <c r="Q20" i="33"/>
  <c r="Q49" i="34"/>
  <c r="P22" i="32"/>
  <c r="S57" i="29"/>
  <c r="P37" i="34"/>
  <c r="J59" i="18"/>
  <c r="Q50" i="32"/>
  <c r="S57" i="25"/>
  <c r="Q30" i="32"/>
  <c r="J59" i="26"/>
  <c r="J57" i="19"/>
  <c r="S55" i="19"/>
  <c r="Q58" i="33"/>
  <c r="S58" i="29"/>
  <c r="Q41" i="32"/>
  <c r="S58" i="20"/>
  <c r="Q43" i="32"/>
  <c r="P20" i="32"/>
  <c r="Q22" i="32"/>
  <c r="Q56" i="33"/>
  <c r="Q48" i="33"/>
  <c r="S58" i="26"/>
  <c r="Q57" i="34"/>
  <c r="S55" i="18"/>
  <c r="Q73" i="25"/>
  <c r="P71" i="29"/>
  <c r="P70" i="17"/>
  <c r="P69" i="17"/>
  <c r="S56" i="28"/>
  <c r="Q45" i="33"/>
  <c r="Q35" i="34"/>
  <c r="Q29" i="34"/>
  <c r="Q52" i="32"/>
  <c r="Q54" i="32"/>
  <c r="Q44" i="32"/>
  <c r="Q63" i="32"/>
  <c r="P45" i="32"/>
  <c r="Q22" i="34"/>
  <c r="J55" i="19"/>
  <c r="P60" i="32"/>
  <c r="J57" i="20"/>
  <c r="S55" i="28"/>
  <c r="P23" i="32"/>
  <c r="P72" i="26"/>
  <c r="Q64" i="32"/>
  <c r="P31" i="32"/>
  <c r="P49" i="34"/>
  <c r="Q42" i="33"/>
  <c r="Q63" i="33"/>
  <c r="P34" i="34"/>
  <c r="J58" i="20"/>
  <c r="P21" i="32"/>
  <c r="S55" i="29"/>
  <c r="P33" i="32"/>
  <c r="Q59" i="33"/>
  <c r="J59" i="20"/>
  <c r="S59" i="17"/>
  <c r="P19" i="32"/>
  <c r="P54" i="32"/>
  <c r="Q49" i="32"/>
  <c r="S57" i="28"/>
  <c r="Q37" i="34"/>
  <c r="S55" i="20"/>
  <c r="J57" i="31"/>
  <c r="P48" i="34"/>
  <c r="Q57" i="33"/>
  <c r="P63" i="32"/>
  <c r="Q33" i="33"/>
  <c r="J56" i="29"/>
  <c r="Q46" i="32"/>
  <c r="Q58" i="34"/>
  <c r="Q62" i="32"/>
  <c r="Q35" i="33"/>
  <c r="P47" i="32"/>
  <c r="S57" i="20"/>
  <c r="P66" i="34"/>
  <c r="Q72" i="33"/>
  <c r="Q65" i="33"/>
  <c r="Q64" i="33"/>
  <c r="P72" i="31"/>
  <c r="P65" i="32"/>
  <c r="P56" i="34"/>
  <c r="S56" i="26"/>
  <c r="Q25" i="32"/>
  <c r="P73" i="29"/>
  <c r="P71" i="25"/>
  <c r="P66" i="32"/>
  <c r="P54" i="34"/>
  <c r="J56" i="26"/>
  <c r="P57" i="32"/>
  <c r="P55" i="32"/>
  <c r="Q31" i="32"/>
  <c r="P62" i="32"/>
  <c r="J56" i="20"/>
  <c r="P45" i="34"/>
  <c r="S58" i="17"/>
  <c r="J55" i="31"/>
  <c r="S57" i="17"/>
  <c r="P36" i="32"/>
  <c r="Q48" i="34"/>
  <c r="S59" i="20"/>
  <c r="S56" i="25"/>
  <c r="J56" i="31"/>
  <c r="Q19" i="32"/>
  <c r="P43" i="32"/>
  <c r="P58" i="32"/>
  <c r="Q60" i="34"/>
  <c r="Q24" i="34"/>
  <c r="Q30" i="34"/>
  <c r="P72" i="28"/>
  <c r="Q38" i="34"/>
  <c r="P41" i="34"/>
  <c r="Q32" i="32"/>
  <c r="J59" i="19"/>
  <c r="P28" i="32"/>
  <c r="S59" i="18"/>
  <c r="Q21" i="34"/>
  <c r="Q34" i="33"/>
  <c r="P72" i="18"/>
  <c r="S59" i="31"/>
  <c r="Q29" i="32"/>
  <c r="Q46" i="33"/>
  <c r="Q27" i="34"/>
  <c r="J57" i="17"/>
  <c r="J59" i="25"/>
  <c r="J56" i="18"/>
  <c r="Q41" i="34"/>
  <c r="Q39" i="33"/>
  <c r="Q39" i="34"/>
  <c r="P32" i="34"/>
  <c r="S59" i="28"/>
  <c r="P63" i="34"/>
  <c r="Q60" i="32"/>
  <c r="Q34" i="32"/>
  <c r="J58" i="29"/>
  <c r="Q42" i="34"/>
  <c r="Q32" i="33"/>
  <c r="J58" i="25"/>
  <c r="Q45" i="32"/>
  <c r="S56" i="29"/>
  <c r="P50" i="34"/>
  <c r="S55" i="25"/>
  <c r="P55" i="34"/>
  <c r="P71" i="20"/>
  <c r="J57" i="28"/>
  <c r="S56" i="20"/>
  <c r="P48" i="32"/>
  <c r="Q47" i="33"/>
  <c r="S58" i="31"/>
  <c r="P52" i="34"/>
  <c r="Q44" i="34"/>
  <c r="Q30" i="33"/>
  <c r="Q61" i="34"/>
  <c r="Q36" i="33"/>
  <c r="P25" i="32"/>
  <c r="Q55" i="33"/>
  <c r="P39" i="32"/>
  <c r="J58" i="19"/>
  <c r="Q51" i="33"/>
  <c r="J58" i="31"/>
  <c r="P71" i="32"/>
  <c r="Q26" i="34"/>
  <c r="Q60" i="33"/>
  <c r="Q40" i="33"/>
  <c r="P46" i="34"/>
  <c r="S59" i="19"/>
  <c r="S56" i="18"/>
  <c r="P20" i="34"/>
  <c r="Q38" i="33"/>
  <c r="P73" i="11"/>
  <c r="P73" i="17"/>
  <c r="P72" i="34"/>
  <c r="Q73" i="19"/>
  <c r="Q73" i="13"/>
  <c r="P73" i="10"/>
  <c r="Q73" i="5"/>
  <c r="Q73" i="7"/>
  <c r="P62" i="34"/>
  <c r="J56" i="25"/>
  <c r="Q31" i="33"/>
  <c r="Q21" i="33"/>
  <c r="Q57" i="32"/>
  <c r="Q36" i="32"/>
  <c r="Q72" i="32"/>
  <c r="Q69" i="32"/>
  <c r="Q21" i="32"/>
  <c r="P60" i="34"/>
  <c r="Q47" i="34"/>
  <c r="S57" i="26"/>
  <c r="Q22" i="33"/>
  <c r="Q41" i="33"/>
  <c r="P58" i="34"/>
  <c r="Q73" i="26"/>
  <c r="Q32" i="34"/>
  <c r="P41" i="32"/>
  <c r="P26" i="32"/>
  <c r="J56" i="28"/>
  <c r="Q24" i="32"/>
  <c r="P46" i="32"/>
  <c r="S58" i="19"/>
  <c r="Q53" i="34"/>
  <c r="S59" i="25"/>
  <c r="Q54" i="34"/>
  <c r="J55" i="18"/>
  <c r="Q26" i="32"/>
  <c r="Q56" i="32"/>
  <c r="P61" i="34"/>
  <c r="P50" i="32"/>
  <c r="Q25" i="34"/>
  <c r="Q19" i="33"/>
  <c r="Q23" i="33"/>
  <c r="Q53" i="32"/>
  <c r="P27" i="32"/>
  <c r="P35" i="32"/>
  <c r="Q43" i="33"/>
  <c r="Q50" i="33"/>
  <c r="Q71" i="32"/>
  <c r="Q29" i="33"/>
  <c r="Q20" i="32"/>
  <c r="J57" i="29"/>
  <c r="S55" i="26"/>
  <c r="Q44" i="33"/>
  <c r="S58" i="18"/>
  <c r="P72" i="32"/>
  <c r="Q59" i="34"/>
  <c r="S55" i="31"/>
  <c r="P49" i="32"/>
  <c r="Q56" i="34"/>
  <c r="J55" i="25"/>
  <c r="J59" i="28"/>
  <c r="S56" i="31"/>
  <c r="P52" i="32"/>
  <c r="Q42" i="32"/>
  <c r="Q23" i="34"/>
  <c r="S59" i="29"/>
  <c r="Q28" i="34"/>
  <c r="P53" i="34"/>
  <c r="Q62" i="33"/>
  <c r="Q33" i="32"/>
  <c r="P51" i="34"/>
  <c r="P43" i="34"/>
  <c r="P33" i="34"/>
  <c r="Q46" i="34"/>
  <c r="S59" i="26"/>
  <c r="J57" i="18"/>
  <c r="P37" i="32"/>
  <c r="R73" i="7" l="1"/>
  <c r="I73" i="7" s="1"/>
  <c r="R73" i="10"/>
  <c r="I73" i="10" s="1"/>
  <c r="R73" i="19"/>
  <c r="I73" i="19" s="1"/>
  <c r="R72" i="34"/>
  <c r="I72" i="34" s="1"/>
  <c r="R73" i="17"/>
  <c r="I73" i="17" s="1"/>
  <c r="R73" i="11"/>
  <c r="I73" i="11" s="1"/>
  <c r="R73" i="5"/>
  <c r="I73" i="5" s="1"/>
  <c r="R73" i="13"/>
  <c r="I73" i="13" s="1"/>
  <c r="R73" i="20"/>
  <c r="I73" i="20" s="1"/>
  <c r="R71" i="34"/>
  <c r="I71" i="34" s="1"/>
  <c r="R73" i="12"/>
  <c r="I73" i="12" s="1"/>
  <c r="R70" i="34"/>
  <c r="I70" i="34" s="1"/>
  <c r="R73" i="18"/>
  <c r="I73" i="18" s="1"/>
  <c r="R73" i="33"/>
  <c r="I73" i="33" s="1"/>
  <c r="R73" i="34"/>
  <c r="I73" i="34" s="1"/>
  <c r="R68" i="34"/>
  <c r="I68" i="34" s="1"/>
  <c r="R67" i="34"/>
  <c r="I67" i="34" s="1"/>
  <c r="R66" i="34"/>
  <c r="I66" i="34" s="1"/>
  <c r="R69" i="34"/>
  <c r="I69" i="34" s="1"/>
  <c r="R65" i="34"/>
  <c r="I65" i="34" s="1"/>
  <c r="R64" i="34"/>
  <c r="I64" i="34" s="1"/>
  <c r="R70" i="33"/>
  <c r="I70" i="33" s="1"/>
  <c r="R71" i="33"/>
  <c r="I71" i="33" s="1"/>
  <c r="R72" i="33"/>
  <c r="I72" i="33" s="1"/>
  <c r="R66" i="33"/>
  <c r="I66" i="33" s="1"/>
  <c r="R69" i="33"/>
  <c r="I69" i="33" s="1"/>
  <c r="R67" i="33"/>
  <c r="I67" i="33" s="1"/>
  <c r="R65" i="33"/>
  <c r="I65" i="33" s="1"/>
  <c r="R68" i="33"/>
  <c r="I68" i="33" s="1"/>
  <c r="R64" i="33"/>
  <c r="I64" i="33" s="1"/>
  <c r="R71" i="32"/>
  <c r="I71" i="32" s="1"/>
  <c r="R72" i="32"/>
  <c r="I72" i="32" s="1"/>
  <c r="R73" i="25"/>
  <c r="I73" i="25" s="1"/>
  <c r="R70" i="32"/>
  <c r="I70" i="32" s="1"/>
  <c r="R73" i="29"/>
  <c r="I73" i="29" s="1"/>
  <c r="R73" i="26"/>
  <c r="I73" i="26" s="1"/>
  <c r="R73" i="32"/>
  <c r="I73" i="32" s="1"/>
  <c r="R73" i="28"/>
  <c r="I73" i="28" s="1"/>
  <c r="R67" i="32"/>
  <c r="I67" i="32" s="1"/>
  <c r="R69" i="32"/>
  <c r="I69" i="32" s="1"/>
  <c r="R68" i="32"/>
  <c r="I68" i="32" s="1"/>
  <c r="R66" i="32"/>
  <c r="I66" i="32" s="1"/>
  <c r="R65" i="32"/>
  <c r="I65" i="32" s="1"/>
  <c r="R64" i="32"/>
  <c r="I64" i="32" s="1"/>
  <c r="AO5" i="4"/>
  <c r="AM5" i="4"/>
  <c r="AN5" i="4"/>
  <c r="R25" i="34"/>
  <c r="I25" i="34" s="1"/>
  <c r="R24" i="34"/>
  <c r="I24" i="34" s="1"/>
  <c r="R23" i="34"/>
  <c r="I23" i="34" s="1"/>
  <c r="R22" i="34"/>
  <c r="I22" i="34" s="1"/>
  <c r="R32" i="34"/>
  <c r="I32" i="34" s="1"/>
  <c r="R29" i="34"/>
  <c r="I29" i="34" s="1"/>
  <c r="R28" i="34"/>
  <c r="I28" i="34" s="1"/>
  <c r="R21" i="34"/>
  <c r="I21" i="34" s="1"/>
  <c r="R20" i="34"/>
  <c r="I20" i="34" s="1"/>
  <c r="R27" i="34"/>
  <c r="I27" i="34" s="1"/>
  <c r="R26" i="34"/>
  <c r="I26" i="34" s="1"/>
  <c r="R19" i="34"/>
  <c r="I19" i="34" s="1"/>
  <c r="R31" i="34"/>
  <c r="I31" i="34" s="1"/>
  <c r="R30" i="34"/>
  <c r="I30" i="34" s="1"/>
  <c r="R59" i="34"/>
  <c r="I59" i="34" s="1"/>
  <c r="R61" i="34"/>
  <c r="I61" i="34" s="1"/>
  <c r="R58" i="34"/>
  <c r="I58" i="34" s="1"/>
  <c r="R50" i="34"/>
  <c r="I50" i="34" s="1"/>
  <c r="R60" i="34"/>
  <c r="I60" i="34" s="1"/>
  <c r="R52" i="34"/>
  <c r="I52" i="34" s="1"/>
  <c r="R49" i="34"/>
  <c r="I49" i="34" s="1"/>
  <c r="R55" i="34"/>
  <c r="I55" i="34" s="1"/>
  <c r="R57" i="34"/>
  <c r="I57" i="34" s="1"/>
  <c r="R62" i="34"/>
  <c r="I62" i="34" s="1"/>
  <c r="R53" i="34"/>
  <c r="I53" i="34" s="1"/>
  <c r="R63" i="34"/>
  <c r="I63" i="34" s="1"/>
  <c r="R54" i="34"/>
  <c r="I54" i="34" s="1"/>
  <c r="R46" i="34"/>
  <c r="I46" i="34" s="1"/>
  <c r="R45" i="34"/>
  <c r="I45" i="34" s="1"/>
  <c r="R44" i="34"/>
  <c r="I44" i="34" s="1"/>
  <c r="R43" i="34"/>
  <c r="I43" i="34" s="1"/>
  <c r="R42" i="34"/>
  <c r="I42" i="34" s="1"/>
  <c r="R41" i="34"/>
  <c r="I41" i="34" s="1"/>
  <c r="R40" i="34"/>
  <c r="I40" i="34" s="1"/>
  <c r="R39" i="34"/>
  <c r="I39" i="34" s="1"/>
  <c r="R38" i="34"/>
  <c r="I38" i="34" s="1"/>
  <c r="R36" i="34"/>
  <c r="I36" i="34" s="1"/>
  <c r="R35" i="34"/>
  <c r="I35" i="34" s="1"/>
  <c r="R34" i="34"/>
  <c r="I34" i="34" s="1"/>
  <c r="R37" i="34"/>
  <c r="I37" i="34" s="1"/>
  <c r="R33" i="34"/>
  <c r="I33" i="34" s="1"/>
  <c r="R56" i="34"/>
  <c r="I56" i="34" s="1"/>
  <c r="R51" i="34"/>
  <c r="I51" i="34" s="1"/>
  <c r="R48" i="34"/>
  <c r="I48" i="34" s="1"/>
  <c r="R47" i="34"/>
  <c r="I47" i="34" s="1"/>
  <c r="R62" i="33"/>
  <c r="I62" i="33" s="1"/>
  <c r="R54" i="33"/>
  <c r="I54" i="33" s="1"/>
  <c r="R46" i="33"/>
  <c r="I46" i="33" s="1"/>
  <c r="R57" i="33"/>
  <c r="I57" i="33" s="1"/>
  <c r="R49" i="33"/>
  <c r="I49" i="33" s="1"/>
  <c r="R60" i="33"/>
  <c r="I60" i="33" s="1"/>
  <c r="R52" i="33"/>
  <c r="I52" i="33" s="1"/>
  <c r="R63" i="33"/>
  <c r="I63" i="33" s="1"/>
  <c r="R55" i="33"/>
  <c r="I55" i="33" s="1"/>
  <c r="R47" i="33"/>
  <c r="I47" i="33" s="1"/>
  <c r="R58" i="33"/>
  <c r="I58" i="33" s="1"/>
  <c r="R50" i="33"/>
  <c r="I50" i="33" s="1"/>
  <c r="R61" i="33"/>
  <c r="I61" i="33" s="1"/>
  <c r="R53" i="33"/>
  <c r="I53" i="33" s="1"/>
  <c r="R56" i="33"/>
  <c r="I56" i="33" s="1"/>
  <c r="R48" i="33"/>
  <c r="I48" i="33" s="1"/>
  <c r="R59" i="33"/>
  <c r="I59" i="33" s="1"/>
  <c r="R51" i="33"/>
  <c r="I51" i="33" s="1"/>
  <c r="R28" i="33"/>
  <c r="I28" i="33" s="1"/>
  <c r="R29" i="33"/>
  <c r="I29" i="33" s="1"/>
  <c r="R20" i="33"/>
  <c r="I20" i="33" s="1"/>
  <c r="R21" i="33"/>
  <c r="I21" i="33" s="1"/>
  <c r="R45" i="33"/>
  <c r="I45" i="33" s="1"/>
  <c r="R44" i="33"/>
  <c r="I44" i="33" s="1"/>
  <c r="R43" i="33"/>
  <c r="I43" i="33" s="1"/>
  <c r="R42" i="33"/>
  <c r="I42" i="33" s="1"/>
  <c r="R41" i="33"/>
  <c r="I41" i="33" s="1"/>
  <c r="R40" i="33"/>
  <c r="I40" i="33" s="1"/>
  <c r="R39" i="33"/>
  <c r="I39" i="33" s="1"/>
  <c r="R38" i="33"/>
  <c r="I38" i="33" s="1"/>
  <c r="R37" i="33"/>
  <c r="I37" i="33" s="1"/>
  <c r="R36" i="33"/>
  <c r="I36" i="33" s="1"/>
  <c r="R35" i="33"/>
  <c r="I35" i="33" s="1"/>
  <c r="R34" i="33"/>
  <c r="I34" i="33" s="1"/>
  <c r="R33" i="33"/>
  <c r="I33" i="33" s="1"/>
  <c r="R26" i="33"/>
  <c r="I26" i="33" s="1"/>
  <c r="R27" i="33"/>
  <c r="I27" i="33" s="1"/>
  <c r="R19" i="33"/>
  <c r="I19" i="33" s="1"/>
  <c r="R24" i="33"/>
  <c r="I24" i="33" s="1"/>
  <c r="R25" i="33"/>
  <c r="I25" i="33" s="1"/>
  <c r="R30" i="33"/>
  <c r="I30" i="33" s="1"/>
  <c r="R31" i="33"/>
  <c r="I31" i="33" s="1"/>
  <c r="R32" i="33"/>
  <c r="I32" i="33" s="1"/>
  <c r="R22" i="33"/>
  <c r="I22" i="33" s="1"/>
  <c r="R23" i="33"/>
  <c r="I23" i="33" s="1"/>
  <c r="O55" i="29"/>
  <c r="R63" i="32"/>
  <c r="I63" i="32" s="1"/>
  <c r="R62" i="32"/>
  <c r="I62" i="32" s="1"/>
  <c r="R61" i="32"/>
  <c r="I61" i="32" s="1"/>
  <c r="R60" i="32"/>
  <c r="I60" i="32" s="1"/>
  <c r="R55" i="32"/>
  <c r="I55" i="32" s="1"/>
  <c r="R56" i="32"/>
  <c r="I56" i="32" s="1"/>
  <c r="R48" i="32"/>
  <c r="I48" i="32" s="1"/>
  <c r="R47" i="32"/>
  <c r="I47" i="32" s="1"/>
  <c r="R46" i="32"/>
  <c r="I46" i="32" s="1"/>
  <c r="R57" i="32"/>
  <c r="I57" i="32" s="1"/>
  <c r="R27" i="32"/>
  <c r="I27" i="32" s="1"/>
  <c r="R31" i="32"/>
  <c r="I31" i="32" s="1"/>
  <c r="R35" i="32"/>
  <c r="I35" i="32" s="1"/>
  <c r="R38" i="32"/>
  <c r="I38" i="32" s="1"/>
  <c r="R45" i="32"/>
  <c r="I45" i="32" s="1"/>
  <c r="R44" i="32"/>
  <c r="I44" i="32" s="1"/>
  <c r="R43" i="32"/>
  <c r="I43" i="32" s="1"/>
  <c r="R42" i="32"/>
  <c r="I42" i="32" s="1"/>
  <c r="R21" i="32"/>
  <c r="I21" i="32" s="1"/>
  <c r="R59" i="32"/>
  <c r="I59" i="32" s="1"/>
  <c r="R51" i="32"/>
  <c r="I51" i="32" s="1"/>
  <c r="R58" i="32"/>
  <c r="I58" i="32" s="1"/>
  <c r="R52" i="32"/>
  <c r="I52" i="32" s="1"/>
  <c r="R53" i="32"/>
  <c r="I53" i="32" s="1"/>
  <c r="R50" i="32"/>
  <c r="I50" i="32" s="1"/>
  <c r="R40" i="32"/>
  <c r="I40" i="32" s="1"/>
  <c r="R32" i="32"/>
  <c r="I32" i="32" s="1"/>
  <c r="R23" i="32"/>
  <c r="I23" i="32" s="1"/>
  <c r="R39" i="32"/>
  <c r="I39" i="32" s="1"/>
  <c r="R33" i="32"/>
  <c r="I33" i="32" s="1"/>
  <c r="R28" i="32"/>
  <c r="I28" i="32" s="1"/>
  <c r="R30" i="32"/>
  <c r="I30" i="32" s="1"/>
  <c r="R54" i="32"/>
  <c r="I54" i="32" s="1"/>
  <c r="R34" i="32"/>
  <c r="I34" i="32" s="1"/>
  <c r="R25" i="32"/>
  <c r="I25" i="32" s="1"/>
  <c r="R22" i="32"/>
  <c r="I22" i="32" s="1"/>
  <c r="R49" i="32"/>
  <c r="I49" i="32" s="1"/>
  <c r="R36" i="32"/>
  <c r="I36" i="32" s="1"/>
  <c r="R19" i="32"/>
  <c r="I19" i="32" s="1"/>
  <c r="R37" i="32"/>
  <c r="I37" i="32" s="1"/>
  <c r="R24" i="32"/>
  <c r="I24" i="32" s="1"/>
  <c r="R26" i="32"/>
  <c r="I26" i="32" s="1"/>
  <c r="R29" i="32"/>
  <c r="I29" i="32" s="1"/>
  <c r="R41" i="32"/>
  <c r="I41" i="32" s="1"/>
  <c r="R20" i="32"/>
  <c r="I20" i="32" s="1"/>
  <c r="N73" i="2"/>
  <c r="N58" i="28"/>
  <c r="O59" i="29"/>
  <c r="N58" i="19"/>
  <c r="O55" i="25"/>
  <c r="O75" i="2"/>
  <c r="N75" i="2"/>
  <c r="O74" i="2"/>
  <c r="N74" i="2"/>
  <c r="O73" i="2"/>
  <c r="O59" i="31"/>
  <c r="O58" i="31"/>
  <c r="L59" i="31"/>
  <c r="K59" i="31"/>
  <c r="O55" i="31"/>
  <c r="O57" i="31"/>
  <c r="L58" i="31"/>
  <c r="K58" i="31"/>
  <c r="L57" i="31"/>
  <c r="K57" i="31"/>
  <c r="L56" i="31"/>
  <c r="K56" i="31"/>
  <c r="O56" i="31"/>
  <c r="L55" i="31"/>
  <c r="K55" i="31"/>
  <c r="N57" i="29"/>
  <c r="L59" i="29"/>
  <c r="K59" i="29"/>
  <c r="L58" i="29"/>
  <c r="K58" i="29"/>
  <c r="O58" i="29"/>
  <c r="L57" i="29"/>
  <c r="K57" i="29"/>
  <c r="L56" i="29"/>
  <c r="K56" i="29"/>
  <c r="O56" i="29"/>
  <c r="L55" i="29"/>
  <c r="K55" i="29"/>
  <c r="O57" i="28"/>
  <c r="L59" i="28"/>
  <c r="K59" i="28"/>
  <c r="O59" i="28"/>
  <c r="N55" i="28"/>
  <c r="L58" i="28"/>
  <c r="K58" i="28"/>
  <c r="K57" i="28"/>
  <c r="L57" i="28"/>
  <c r="O56" i="28"/>
  <c r="L56" i="28"/>
  <c r="K56" i="28"/>
  <c r="L55" i="28"/>
  <c r="K55" i="28"/>
  <c r="O59" i="26"/>
  <c r="N58" i="26"/>
  <c r="L59" i="26"/>
  <c r="K59" i="26"/>
  <c r="O57" i="26"/>
  <c r="L58" i="26"/>
  <c r="K58" i="26"/>
  <c r="O56" i="26"/>
  <c r="L57" i="26"/>
  <c r="K57" i="26"/>
  <c r="O55" i="26"/>
  <c r="L56" i="26"/>
  <c r="K56" i="26"/>
  <c r="L55" i="26"/>
  <c r="K55" i="26"/>
  <c r="O59" i="25"/>
  <c r="O58" i="25"/>
  <c r="N57" i="25"/>
  <c r="O56" i="25"/>
  <c r="L59" i="25"/>
  <c r="K59" i="25"/>
  <c r="L58" i="25"/>
  <c r="K58" i="25"/>
  <c r="L57" i="25"/>
  <c r="K57" i="25"/>
  <c r="L56" i="25"/>
  <c r="K56" i="25"/>
  <c r="L55" i="25"/>
  <c r="K55" i="25"/>
  <c r="O59" i="20"/>
  <c r="O58" i="20"/>
  <c r="N57" i="20"/>
  <c r="L59" i="20"/>
  <c r="K59" i="20"/>
  <c r="L58" i="20"/>
  <c r="K58" i="20"/>
  <c r="O56" i="20"/>
  <c r="L57" i="20"/>
  <c r="K57" i="20"/>
  <c r="O55" i="20"/>
  <c r="L56" i="20"/>
  <c r="K56" i="20"/>
  <c r="L55" i="20"/>
  <c r="K55" i="20"/>
  <c r="O59" i="19"/>
  <c r="N57" i="19"/>
  <c r="O56" i="19"/>
  <c r="L59" i="19"/>
  <c r="K59" i="19"/>
  <c r="L58" i="19"/>
  <c r="K58" i="19"/>
  <c r="L57" i="19"/>
  <c r="K57" i="19"/>
  <c r="O55" i="19"/>
  <c r="L56" i="19"/>
  <c r="K56" i="19"/>
  <c r="L55" i="19"/>
  <c r="K55" i="19"/>
  <c r="O59" i="18"/>
  <c r="O57" i="18"/>
  <c r="N56" i="18"/>
  <c r="L59" i="18"/>
  <c r="K59" i="18"/>
  <c r="O58" i="18"/>
  <c r="L58" i="18"/>
  <c r="K58" i="18"/>
  <c r="L57" i="18"/>
  <c r="K57" i="18"/>
  <c r="K56" i="18"/>
  <c r="L56" i="18"/>
  <c r="O55" i="18"/>
  <c r="L55" i="18"/>
  <c r="K55" i="18"/>
  <c r="O58" i="17"/>
  <c r="L59" i="17"/>
  <c r="K59" i="17"/>
  <c r="O59" i="17"/>
  <c r="O57" i="17"/>
  <c r="L58" i="17"/>
  <c r="K58" i="17"/>
  <c r="O56" i="17"/>
  <c r="L57" i="17"/>
  <c r="K57" i="17"/>
  <c r="K56" i="17"/>
  <c r="L56" i="17"/>
  <c r="M55" i="17"/>
  <c r="O55" i="17" s="1"/>
  <c r="M59" i="13"/>
  <c r="N59" i="13" s="1"/>
  <c r="M58" i="13"/>
  <c r="N58" i="13" s="1"/>
  <c r="M57" i="13"/>
  <c r="N57" i="13" s="1"/>
  <c r="M56" i="13"/>
  <c r="N56" i="13" s="1"/>
  <c r="M55" i="13"/>
  <c r="N55" i="13" s="1"/>
  <c r="M59" i="12"/>
  <c r="N59" i="12" s="1"/>
  <c r="M58" i="12"/>
  <c r="O58" i="12" s="1"/>
  <c r="M57" i="12"/>
  <c r="N57" i="12" s="1"/>
  <c r="M56" i="12"/>
  <c r="O56" i="12" s="1"/>
  <c r="M55" i="12"/>
  <c r="N55" i="12" s="1"/>
  <c r="M59" i="11"/>
  <c r="N59" i="11" s="1"/>
  <c r="M58" i="11"/>
  <c r="N58" i="11" s="1"/>
  <c r="M57" i="11"/>
  <c r="N57" i="11" s="1"/>
  <c r="M56" i="11"/>
  <c r="N56" i="11" s="1"/>
  <c r="M55" i="11"/>
  <c r="N55" i="11" s="1"/>
  <c r="M59" i="10"/>
  <c r="N59" i="10" s="1"/>
  <c r="M58" i="10"/>
  <c r="O58" i="10" s="1"/>
  <c r="M57" i="10"/>
  <c r="N57" i="10" s="1"/>
  <c r="M56" i="10"/>
  <c r="O56" i="10" s="1"/>
  <c r="M55" i="10"/>
  <c r="N55" i="10" s="1"/>
  <c r="M59" i="5"/>
  <c r="N59" i="5" s="1"/>
  <c r="M58" i="5"/>
  <c r="O58" i="5" s="1"/>
  <c r="M57" i="5"/>
  <c r="N57" i="5" s="1"/>
  <c r="M56" i="5"/>
  <c r="N56" i="5" s="1"/>
  <c r="M55" i="5"/>
  <c r="N55" i="5" s="1"/>
  <c r="P70" i="29"/>
  <c r="P71" i="26"/>
  <c r="Q71" i="17"/>
  <c r="P69" i="29"/>
  <c r="P69" i="20"/>
  <c r="P68" i="13"/>
  <c r="J59" i="12"/>
  <c r="J58" i="12"/>
  <c r="S56" i="11"/>
  <c r="Q70" i="29"/>
  <c r="Q71" i="20"/>
  <c r="P68" i="29"/>
  <c r="P68" i="20"/>
  <c r="P69" i="11"/>
  <c r="J58" i="10"/>
  <c r="J56" i="10"/>
  <c r="S55" i="11"/>
  <c r="Q70" i="31"/>
  <c r="Q71" i="18"/>
  <c r="Q68" i="29"/>
  <c r="Q68" i="20"/>
  <c r="P68" i="11"/>
  <c r="S58" i="12"/>
  <c r="S56" i="10"/>
  <c r="S58" i="13"/>
  <c r="Q70" i="26"/>
  <c r="Q70" i="19"/>
  <c r="Q69" i="31"/>
  <c r="Q68" i="25"/>
  <c r="P69" i="13"/>
  <c r="S59" i="10"/>
  <c r="J55" i="5"/>
  <c r="J59" i="5"/>
  <c r="Q71" i="28"/>
  <c r="P70" i="25"/>
  <c r="Q70" i="17"/>
  <c r="P69" i="28"/>
  <c r="P69" i="19"/>
  <c r="J55" i="13"/>
  <c r="S55" i="10"/>
  <c r="J55" i="11"/>
  <c r="S57" i="5"/>
  <c r="Q71" i="29"/>
  <c r="Q72" i="18"/>
  <c r="P68" i="28"/>
  <c r="P68" i="19"/>
  <c r="J55" i="12"/>
  <c r="J57" i="11"/>
  <c r="S59" i="12"/>
  <c r="J57" i="10"/>
  <c r="Q72" i="25"/>
  <c r="P71" i="13"/>
  <c r="Q68" i="28"/>
  <c r="Q68" i="19"/>
  <c r="J59" i="13"/>
  <c r="S57" i="10"/>
  <c r="J56" i="5"/>
  <c r="S59" i="11"/>
  <c r="Q70" i="25"/>
  <c r="Q72" i="19"/>
  <c r="Q69" i="29"/>
  <c r="P72" i="5"/>
  <c r="J56" i="12"/>
  <c r="P70" i="28"/>
  <c r="Q72" i="28"/>
  <c r="Q72" i="20"/>
  <c r="P71" i="11"/>
  <c r="P69" i="26"/>
  <c r="Q68" i="18"/>
  <c r="S57" i="11"/>
  <c r="S58" i="5"/>
  <c r="S55" i="17"/>
  <c r="Q72" i="29"/>
  <c r="Q70" i="28"/>
  <c r="P72" i="13"/>
  <c r="P68" i="26"/>
  <c r="P68" i="18"/>
  <c r="J59" i="11"/>
  <c r="S58" i="10"/>
  <c r="J55" i="10"/>
  <c r="P71" i="19"/>
  <c r="P70" i="20"/>
  <c r="P72" i="12"/>
  <c r="Q68" i="26"/>
  <c r="P69" i="18"/>
  <c r="J58" i="11"/>
  <c r="S57" i="13"/>
  <c r="J58" i="5"/>
  <c r="Q71" i="26"/>
  <c r="Q71" i="25"/>
  <c r="Q72" i="17"/>
  <c r="Q69" i="28"/>
  <c r="Q69" i="19"/>
  <c r="S55" i="5"/>
  <c r="S58" i="11"/>
  <c r="P71" i="28"/>
  <c r="P70" i="26"/>
  <c r="P70" i="19"/>
  <c r="P72" i="10"/>
  <c r="P68" i="25"/>
  <c r="Q69" i="17"/>
  <c r="S59" i="5"/>
  <c r="S56" i="5"/>
  <c r="S55" i="12"/>
  <c r="Q72" i="31"/>
  <c r="Q70" i="20"/>
  <c r="P70" i="11"/>
  <c r="P69" i="25"/>
  <c r="Q68" i="17"/>
  <c r="S56" i="13"/>
  <c r="S56" i="12"/>
  <c r="J56" i="13"/>
  <c r="Q71" i="31"/>
  <c r="Q70" i="18"/>
  <c r="Q68" i="31"/>
  <c r="Q69" i="25"/>
  <c r="P70" i="13"/>
  <c r="J59" i="10"/>
  <c r="S57" i="12"/>
  <c r="J57" i="13"/>
  <c r="Q72" i="26"/>
  <c r="Q71" i="19"/>
  <c r="P72" i="11"/>
  <c r="Q69" i="26"/>
  <c r="Q69" i="18"/>
  <c r="J57" i="5"/>
  <c r="J57" i="12"/>
  <c r="S55" i="13"/>
  <c r="J58" i="13"/>
  <c r="J55" i="17"/>
  <c r="Q69" i="20"/>
  <c r="S59" i="13"/>
  <c r="J56" i="11"/>
  <c r="R72" i="17" l="1"/>
  <c r="I72" i="17" s="1"/>
  <c r="R72" i="19"/>
  <c r="I72" i="19" s="1"/>
  <c r="R71" i="25"/>
  <c r="I71" i="25" s="1"/>
  <c r="R72" i="26"/>
  <c r="I72" i="26" s="1"/>
  <c r="R71" i="18"/>
  <c r="I71" i="18" s="1"/>
  <c r="R70" i="18"/>
  <c r="I70" i="18" s="1"/>
  <c r="R70" i="20"/>
  <c r="I70" i="20" s="1"/>
  <c r="R72" i="25"/>
  <c r="I72" i="25" s="1"/>
  <c r="R70" i="31"/>
  <c r="I70" i="31" s="1"/>
  <c r="R71" i="31"/>
  <c r="I71" i="31" s="1"/>
  <c r="R71" i="19"/>
  <c r="I71" i="19" s="1"/>
  <c r="R72" i="18"/>
  <c r="I72" i="18" s="1"/>
  <c r="R71" i="20"/>
  <c r="I71" i="20" s="1"/>
  <c r="R71" i="29"/>
  <c r="I71" i="29" s="1"/>
  <c r="R72" i="31"/>
  <c r="I72" i="31" s="1"/>
  <c r="R72" i="29"/>
  <c r="I72" i="29" s="1"/>
  <c r="R70" i="17"/>
  <c r="I70" i="17" s="1"/>
  <c r="R71" i="17"/>
  <c r="I71" i="17" s="1"/>
  <c r="R70" i="19"/>
  <c r="I70" i="19" s="1"/>
  <c r="R72" i="20"/>
  <c r="I72" i="20" s="1"/>
  <c r="R70" i="25"/>
  <c r="I70" i="25" s="1"/>
  <c r="R71" i="26"/>
  <c r="I71" i="26" s="1"/>
  <c r="R70" i="26"/>
  <c r="I70" i="26" s="1"/>
  <c r="R72" i="28"/>
  <c r="I72" i="28" s="1"/>
  <c r="R70" i="29"/>
  <c r="I70" i="29" s="1"/>
  <c r="R71" i="28"/>
  <c r="I71" i="28" s="1"/>
  <c r="R70" i="28"/>
  <c r="I70" i="28" s="1"/>
  <c r="R69" i="31"/>
  <c r="I69" i="31" s="1"/>
  <c r="R68" i="31"/>
  <c r="I68" i="31" s="1"/>
  <c r="R68" i="29"/>
  <c r="I68" i="29" s="1"/>
  <c r="R69" i="29"/>
  <c r="I69" i="29" s="1"/>
  <c r="R68" i="28"/>
  <c r="I68" i="28" s="1"/>
  <c r="R69" i="28"/>
  <c r="I69" i="28" s="1"/>
  <c r="R68" i="26"/>
  <c r="I68" i="26" s="1"/>
  <c r="R69" i="26"/>
  <c r="I69" i="26" s="1"/>
  <c r="R69" i="25"/>
  <c r="I69" i="25" s="1"/>
  <c r="R68" i="25"/>
  <c r="I68" i="25" s="1"/>
  <c r="R68" i="20"/>
  <c r="I68" i="20" s="1"/>
  <c r="R69" i="20"/>
  <c r="I69" i="20" s="1"/>
  <c r="R68" i="19"/>
  <c r="I68" i="19" s="1"/>
  <c r="R69" i="19"/>
  <c r="I69" i="19" s="1"/>
  <c r="R69" i="18"/>
  <c r="I69" i="18" s="1"/>
  <c r="R68" i="18"/>
  <c r="I68" i="18" s="1"/>
  <c r="R69" i="17"/>
  <c r="I69" i="17" s="1"/>
  <c r="AL5" i="4"/>
  <c r="O58" i="11"/>
  <c r="N55" i="17"/>
  <c r="L55" i="17"/>
  <c r="K55" i="17"/>
  <c r="O59" i="13"/>
  <c r="O58" i="13"/>
  <c r="L59" i="13"/>
  <c r="K59" i="13"/>
  <c r="O57" i="13"/>
  <c r="L58" i="13"/>
  <c r="K58" i="13"/>
  <c r="O56" i="13"/>
  <c r="L57" i="13"/>
  <c r="K57" i="13"/>
  <c r="O55" i="13"/>
  <c r="L56" i="13"/>
  <c r="K56" i="13"/>
  <c r="L55" i="13"/>
  <c r="K55" i="13"/>
  <c r="N58" i="12"/>
  <c r="O59" i="12"/>
  <c r="N56" i="12"/>
  <c r="L59" i="12"/>
  <c r="K59" i="12"/>
  <c r="L58" i="12"/>
  <c r="K58" i="12"/>
  <c r="O55" i="12"/>
  <c r="L57" i="12"/>
  <c r="K57" i="12"/>
  <c r="O57" i="12"/>
  <c r="L56" i="12"/>
  <c r="K56" i="12"/>
  <c r="L55" i="12"/>
  <c r="K55" i="12"/>
  <c r="O59" i="11"/>
  <c r="L59" i="11"/>
  <c r="K59" i="11"/>
  <c r="O57" i="11"/>
  <c r="L58" i="11"/>
  <c r="K58" i="11"/>
  <c r="O56" i="11"/>
  <c r="L57" i="11"/>
  <c r="K57" i="11"/>
  <c r="L56" i="11"/>
  <c r="K56" i="11"/>
  <c r="O55" i="11"/>
  <c r="L55" i="11"/>
  <c r="K55" i="11"/>
  <c r="N58" i="10"/>
  <c r="N56" i="10"/>
  <c r="O59" i="10"/>
  <c r="L59" i="10"/>
  <c r="K59" i="10"/>
  <c r="K58" i="10"/>
  <c r="L58" i="10"/>
  <c r="O57" i="10"/>
  <c r="L57" i="10"/>
  <c r="K57" i="10"/>
  <c r="O55" i="10"/>
  <c r="L56" i="10"/>
  <c r="K56" i="10"/>
  <c r="L55" i="10"/>
  <c r="K55" i="10"/>
  <c r="N58" i="5"/>
  <c r="O59" i="5"/>
  <c r="L59" i="5"/>
  <c r="K59" i="5"/>
  <c r="O57" i="5"/>
  <c r="L58" i="5"/>
  <c r="K58" i="5"/>
  <c r="O56" i="5"/>
  <c r="L57" i="5"/>
  <c r="K57" i="5"/>
  <c r="O55" i="5"/>
  <c r="L56" i="5"/>
  <c r="K56" i="5"/>
  <c r="L55" i="5"/>
  <c r="K55" i="5"/>
  <c r="M59" i="7"/>
  <c r="N59" i="7" s="1"/>
  <c r="M58" i="7"/>
  <c r="O58" i="7" s="1"/>
  <c r="M57" i="7"/>
  <c r="N57" i="7" s="1"/>
  <c r="M56" i="7"/>
  <c r="N56" i="7" s="1"/>
  <c r="M55" i="7"/>
  <c r="N55" i="7" s="1"/>
  <c r="M54" i="31"/>
  <c r="N54" i="31" s="1"/>
  <c r="M53" i="31"/>
  <c r="O53" i="31" s="1"/>
  <c r="M52" i="31"/>
  <c r="O52" i="31" s="1"/>
  <c r="M51" i="31"/>
  <c r="O51" i="31" s="1"/>
  <c r="M50" i="31"/>
  <c r="N50" i="31" s="1"/>
  <c r="M49" i="31"/>
  <c r="O49" i="31" s="1"/>
  <c r="M48" i="31"/>
  <c r="O48" i="31" s="1"/>
  <c r="M47" i="31"/>
  <c r="O47" i="31" s="1"/>
  <c r="M46" i="31"/>
  <c r="N46" i="31" s="1"/>
  <c r="M45" i="31"/>
  <c r="O45" i="31" s="1"/>
  <c r="M44" i="31"/>
  <c r="O44" i="31" s="1"/>
  <c r="M43" i="31"/>
  <c r="O43" i="31" s="1"/>
  <c r="M42" i="31"/>
  <c r="N42" i="31" s="1"/>
  <c r="M41" i="31"/>
  <c r="O41" i="31" s="1"/>
  <c r="M40" i="31"/>
  <c r="O40" i="31" s="1"/>
  <c r="M39" i="31"/>
  <c r="O39" i="31" s="1"/>
  <c r="M38" i="31"/>
  <c r="N38" i="31" s="1"/>
  <c r="M37" i="31"/>
  <c r="O37" i="31" s="1"/>
  <c r="M36" i="31"/>
  <c r="O36" i="31" s="1"/>
  <c r="M35" i="31"/>
  <c r="O35" i="31" s="1"/>
  <c r="M34" i="31"/>
  <c r="O34" i="31" s="1"/>
  <c r="M33" i="31"/>
  <c r="O33" i="31" s="1"/>
  <c r="M32" i="31"/>
  <c r="O32" i="31" s="1"/>
  <c r="M31" i="31"/>
  <c r="O31" i="31" s="1"/>
  <c r="M30" i="31"/>
  <c r="O30" i="31" s="1"/>
  <c r="M29" i="31"/>
  <c r="O29" i="31" s="1"/>
  <c r="M28" i="31"/>
  <c r="O28" i="31" s="1"/>
  <c r="M27" i="31"/>
  <c r="O27" i="31" s="1"/>
  <c r="M26" i="31"/>
  <c r="O26" i="31" s="1"/>
  <c r="M25" i="31"/>
  <c r="O25" i="31" s="1"/>
  <c r="M24" i="31"/>
  <c r="O24" i="31" s="1"/>
  <c r="M23" i="31"/>
  <c r="O23" i="31" s="1"/>
  <c r="M22" i="31"/>
  <c r="O22" i="31" s="1"/>
  <c r="M21" i="31"/>
  <c r="O21" i="31" s="1"/>
  <c r="M20" i="31"/>
  <c r="N20" i="31" s="1"/>
  <c r="M19" i="31"/>
  <c r="O19" i="31" s="1"/>
  <c r="Q18" i="31"/>
  <c r="P18" i="31"/>
  <c r="R18" i="31" s="1"/>
  <c r="I18" i="31" s="1"/>
  <c r="M18" i="31"/>
  <c r="N18" i="31" s="1"/>
  <c r="S17" i="31"/>
  <c r="Q17" i="31"/>
  <c r="P17" i="31"/>
  <c r="R17" i="31" s="1"/>
  <c r="I17" i="31" s="1"/>
  <c r="M17" i="31"/>
  <c r="O17" i="31" s="1"/>
  <c r="J17" i="31"/>
  <c r="L17" i="31" s="1"/>
  <c r="S16" i="31"/>
  <c r="Q16" i="31"/>
  <c r="P16" i="31"/>
  <c r="R16" i="31" s="1"/>
  <c r="I16" i="31" s="1"/>
  <c r="M16" i="31"/>
  <c r="O16" i="31" s="1"/>
  <c r="J16" i="31"/>
  <c r="L16" i="31" s="1"/>
  <c r="S15" i="31"/>
  <c r="Q15" i="31"/>
  <c r="P15" i="31"/>
  <c r="R15" i="31" s="1"/>
  <c r="I15" i="31" s="1"/>
  <c r="M15" i="31"/>
  <c r="O15" i="31" s="1"/>
  <c r="J15" i="31"/>
  <c r="L15" i="31" s="1"/>
  <c r="S14" i="31"/>
  <c r="Q14" i="31"/>
  <c r="P14" i="31"/>
  <c r="R14" i="31" s="1"/>
  <c r="I14" i="31" s="1"/>
  <c r="M14" i="31"/>
  <c r="O14" i="31" s="1"/>
  <c r="J14" i="31"/>
  <c r="K14" i="31" s="1"/>
  <c r="S13" i="31"/>
  <c r="Q13" i="31"/>
  <c r="P13" i="31"/>
  <c r="R13" i="31" s="1"/>
  <c r="I13" i="31" s="1"/>
  <c r="M13" i="31"/>
  <c r="O13" i="31" s="1"/>
  <c r="J13" i="31"/>
  <c r="L13" i="31" s="1"/>
  <c r="S12" i="31"/>
  <c r="Q12" i="31"/>
  <c r="P12" i="31"/>
  <c r="R12" i="31" s="1"/>
  <c r="I12" i="31" s="1"/>
  <c r="M12" i="31"/>
  <c r="N12" i="31" s="1"/>
  <c r="J12" i="31"/>
  <c r="L12" i="31" s="1"/>
  <c r="S11" i="31"/>
  <c r="Q11" i="31"/>
  <c r="P11" i="31"/>
  <c r="R11" i="31" s="1"/>
  <c r="I11" i="31" s="1"/>
  <c r="M11" i="31"/>
  <c r="O11" i="31" s="1"/>
  <c r="J11" i="31"/>
  <c r="L11" i="31" s="1"/>
  <c r="S10" i="31"/>
  <c r="Q10" i="31"/>
  <c r="P10" i="31"/>
  <c r="R10" i="31" s="1"/>
  <c r="I10" i="31" s="1"/>
  <c r="M10" i="31"/>
  <c r="O10" i="31" s="1"/>
  <c r="J10" i="31"/>
  <c r="K10" i="31" s="1"/>
  <c r="S9" i="31"/>
  <c r="Q9" i="31"/>
  <c r="P9" i="31"/>
  <c r="R9" i="31" s="1"/>
  <c r="I9" i="31" s="1"/>
  <c r="M9" i="31"/>
  <c r="O9" i="31" s="1"/>
  <c r="J9" i="31"/>
  <c r="L9" i="31" s="1"/>
  <c r="S8" i="31"/>
  <c r="Q8" i="31"/>
  <c r="P8" i="31"/>
  <c r="R8" i="31" s="1"/>
  <c r="I8" i="31" s="1"/>
  <c r="M8" i="31"/>
  <c r="N8" i="31" s="1"/>
  <c r="J8" i="31"/>
  <c r="L8" i="31" s="1"/>
  <c r="S7" i="31"/>
  <c r="Q7" i="31"/>
  <c r="P7" i="31"/>
  <c r="R7" i="31" s="1"/>
  <c r="I7" i="31" s="1"/>
  <c r="M7" i="31"/>
  <c r="O7" i="31" s="1"/>
  <c r="J7" i="31"/>
  <c r="L7" i="31" s="1"/>
  <c r="S6" i="31"/>
  <c r="Q6" i="31"/>
  <c r="P6" i="31"/>
  <c r="R6" i="31" s="1"/>
  <c r="I6" i="31" s="1"/>
  <c r="M6" i="31"/>
  <c r="O6" i="31" s="1"/>
  <c r="J6" i="31"/>
  <c r="K6" i="31" s="1"/>
  <c r="S5" i="31"/>
  <c r="Q5" i="31"/>
  <c r="P5" i="31"/>
  <c r="R5" i="31" s="1"/>
  <c r="I5" i="31" s="1"/>
  <c r="M5" i="31"/>
  <c r="O5" i="31" s="1"/>
  <c r="J5" i="31"/>
  <c r="L5" i="31" s="1"/>
  <c r="H5" i="31"/>
  <c r="H72" i="2"/>
  <c r="I72" i="2"/>
  <c r="J72" i="2"/>
  <c r="K72" i="2"/>
  <c r="L72" i="2"/>
  <c r="M72" i="2"/>
  <c r="P72" i="2"/>
  <c r="Q72" i="2"/>
  <c r="R72" i="2"/>
  <c r="S72" i="2"/>
  <c r="Q72" i="13"/>
  <c r="P71" i="10"/>
  <c r="Q68" i="10"/>
  <c r="S31" i="31"/>
  <c r="J33" i="31"/>
  <c r="S18" i="31"/>
  <c r="S34" i="31"/>
  <c r="J45" i="31"/>
  <c r="J57" i="7"/>
  <c r="J22" i="31"/>
  <c r="Q35" i="31"/>
  <c r="Q70" i="12"/>
  <c r="Q69" i="10"/>
  <c r="J18" i="31"/>
  <c r="S59" i="7"/>
  <c r="Q36" i="31"/>
  <c r="J30" i="31"/>
  <c r="S39" i="31"/>
  <c r="J51" i="31"/>
  <c r="P71" i="12"/>
  <c r="S41" i="31"/>
  <c r="S55" i="7"/>
  <c r="Q71" i="10"/>
  <c r="Q69" i="13"/>
  <c r="P68" i="5"/>
  <c r="J41" i="31"/>
  <c r="J21" i="31"/>
  <c r="S26" i="31"/>
  <c r="S33" i="31"/>
  <c r="S49" i="31"/>
  <c r="S32" i="31"/>
  <c r="J37" i="31"/>
  <c r="J49" i="31"/>
  <c r="S35" i="31"/>
  <c r="S27" i="31"/>
  <c r="J42" i="31"/>
  <c r="J28" i="31"/>
  <c r="S19" i="31"/>
  <c r="P68" i="10"/>
  <c r="S57" i="7"/>
  <c r="S58" i="7"/>
  <c r="Q71" i="12"/>
  <c r="Q70" i="13"/>
  <c r="P71" i="5"/>
  <c r="J31" i="31"/>
  <c r="S22" i="31"/>
  <c r="J56" i="7"/>
  <c r="J46" i="31"/>
  <c r="S47" i="31"/>
  <c r="P68" i="12"/>
  <c r="S51" i="31"/>
  <c r="J58" i="7"/>
  <c r="Q70" i="11"/>
  <c r="Q71" i="5"/>
  <c r="J43" i="31"/>
  <c r="S44" i="31"/>
  <c r="S29" i="31"/>
  <c r="J29" i="31"/>
  <c r="J47" i="31"/>
  <c r="S24" i="31"/>
  <c r="Q70" i="10"/>
  <c r="J44" i="31"/>
  <c r="S50" i="31"/>
  <c r="Q72" i="10"/>
  <c r="Q68" i="12"/>
  <c r="J40" i="31"/>
  <c r="S45" i="31"/>
  <c r="S25" i="31"/>
  <c r="S28" i="31"/>
  <c r="J36" i="31"/>
  <c r="S53" i="31"/>
  <c r="Q68" i="13"/>
  <c r="Q37" i="31"/>
  <c r="P68" i="17"/>
  <c r="P72" i="7"/>
  <c r="J25" i="31"/>
  <c r="J59" i="7"/>
  <c r="J24" i="31"/>
  <c r="Q72" i="12"/>
  <c r="P69" i="12"/>
  <c r="Q68" i="5"/>
  <c r="S43" i="31"/>
  <c r="J27" i="31"/>
  <c r="J55" i="7"/>
  <c r="S20" i="31"/>
  <c r="J48" i="31"/>
  <c r="Q71" i="11"/>
  <c r="P70" i="10"/>
  <c r="Q69" i="11"/>
  <c r="S48" i="31"/>
  <c r="J19" i="31"/>
  <c r="J53" i="31"/>
  <c r="J26" i="31"/>
  <c r="J35" i="31"/>
  <c r="J32" i="31"/>
  <c r="J23" i="31"/>
  <c r="S40" i="31"/>
  <c r="Q71" i="13"/>
  <c r="Q69" i="12"/>
  <c r="Q69" i="5"/>
  <c r="S38" i="31"/>
  <c r="Q34" i="31"/>
  <c r="S21" i="31"/>
  <c r="J52" i="31"/>
  <c r="J38" i="31"/>
  <c r="P70" i="12"/>
  <c r="P69" i="10"/>
  <c r="J34" i="31"/>
  <c r="Q72" i="11"/>
  <c r="P67" i="31"/>
  <c r="Q72" i="5"/>
  <c r="J39" i="31"/>
  <c r="S36" i="31"/>
  <c r="J54" i="31"/>
  <c r="S46" i="31"/>
  <c r="S23" i="31"/>
  <c r="P69" i="5"/>
  <c r="J50" i="31"/>
  <c r="S30" i="31"/>
  <c r="S56" i="7"/>
  <c r="P70" i="5"/>
  <c r="Q70" i="5"/>
  <c r="S54" i="31"/>
  <c r="S52" i="31"/>
  <c r="S42" i="31"/>
  <c r="S37" i="31"/>
  <c r="J20" i="31"/>
  <c r="Q68" i="11"/>
  <c r="R72" i="10" l="1"/>
  <c r="I72" i="10" s="1"/>
  <c r="R72" i="11"/>
  <c r="I72" i="11" s="1"/>
  <c r="R71" i="12"/>
  <c r="I71" i="12" s="1"/>
  <c r="R70" i="12"/>
  <c r="I70" i="12" s="1"/>
  <c r="R70" i="11"/>
  <c r="I70" i="11" s="1"/>
  <c r="R71" i="13"/>
  <c r="I71" i="13" s="1"/>
  <c r="R71" i="10"/>
  <c r="I71" i="10" s="1"/>
  <c r="R70" i="10"/>
  <c r="I70" i="10" s="1"/>
  <c r="R72" i="12"/>
  <c r="I72" i="12" s="1"/>
  <c r="R72" i="13"/>
  <c r="I72" i="13" s="1"/>
  <c r="R71" i="11"/>
  <c r="I71" i="11" s="1"/>
  <c r="R68" i="17"/>
  <c r="I68" i="17" s="1"/>
  <c r="R70" i="13"/>
  <c r="I70" i="13" s="1"/>
  <c r="R69" i="13"/>
  <c r="I69" i="13" s="1"/>
  <c r="R68" i="13"/>
  <c r="I68" i="13" s="1"/>
  <c r="R69" i="12"/>
  <c r="I69" i="12" s="1"/>
  <c r="R68" i="12"/>
  <c r="I68" i="12" s="1"/>
  <c r="R69" i="11"/>
  <c r="I69" i="11" s="1"/>
  <c r="R68" i="11"/>
  <c r="I68" i="11" s="1"/>
  <c r="R69" i="10"/>
  <c r="I69" i="10" s="1"/>
  <c r="R68" i="10"/>
  <c r="I68" i="10" s="1"/>
  <c r="R72" i="5"/>
  <c r="I72" i="5" s="1"/>
  <c r="R71" i="5"/>
  <c r="I71" i="5" s="1"/>
  <c r="R70" i="5"/>
  <c r="I70" i="5" s="1"/>
  <c r="R69" i="5"/>
  <c r="I69" i="5" s="1"/>
  <c r="R68" i="5"/>
  <c r="I68" i="5" s="1"/>
  <c r="O72" i="2"/>
  <c r="N49" i="31"/>
  <c r="N47" i="31"/>
  <c r="N34" i="31"/>
  <c r="N15" i="31"/>
  <c r="O12" i="31"/>
  <c r="H6" i="3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N43" i="31"/>
  <c r="N58" i="7"/>
  <c r="O38" i="31"/>
  <c r="N41" i="31"/>
  <c r="N51" i="31"/>
  <c r="N53" i="31"/>
  <c r="N32" i="31"/>
  <c r="O8" i="31"/>
  <c r="N11" i="31"/>
  <c r="N30" i="31"/>
  <c r="O20" i="31"/>
  <c r="N45" i="31"/>
  <c r="O18" i="31"/>
  <c r="N19" i="31"/>
  <c r="N28" i="31"/>
  <c r="N37" i="31"/>
  <c r="N39" i="31"/>
  <c r="O46" i="31"/>
  <c r="O50" i="31"/>
  <c r="N7" i="31"/>
  <c r="N26" i="31"/>
  <c r="N31" i="31"/>
  <c r="N33" i="31"/>
  <c r="N35" i="31"/>
  <c r="O42" i="31"/>
  <c r="O59" i="7"/>
  <c r="L59" i="7"/>
  <c r="K59" i="7"/>
  <c r="O57" i="7"/>
  <c r="L58" i="7"/>
  <c r="K58" i="7"/>
  <c r="O56" i="7"/>
  <c r="L57" i="7"/>
  <c r="K57" i="7"/>
  <c r="O55" i="7"/>
  <c r="L56" i="7"/>
  <c r="K56" i="7"/>
  <c r="L55" i="7"/>
  <c r="K55" i="7"/>
  <c r="K15" i="31"/>
  <c r="L14" i="31"/>
  <c r="N10" i="31"/>
  <c r="N17" i="31"/>
  <c r="N22" i="31"/>
  <c r="N36" i="31"/>
  <c r="N40" i="31"/>
  <c r="N44" i="31"/>
  <c r="N48" i="31"/>
  <c r="N52" i="31"/>
  <c r="N6" i="31"/>
  <c r="N5" i="31"/>
  <c r="N9" i="31"/>
  <c r="N13" i="31"/>
  <c r="N14" i="31"/>
  <c r="N16" i="31"/>
  <c r="N21" i="31"/>
  <c r="N25" i="31"/>
  <c r="N27" i="31"/>
  <c r="N29" i="31"/>
  <c r="O54" i="31"/>
  <c r="L10" i="31"/>
  <c r="K11" i="31"/>
  <c r="L6" i="31"/>
  <c r="K7" i="31"/>
  <c r="K8" i="31"/>
  <c r="K12" i="31"/>
  <c r="K16" i="31"/>
  <c r="K9" i="31"/>
  <c r="K13" i="31"/>
  <c r="K17" i="31"/>
  <c r="K5" i="31"/>
  <c r="L36" i="31"/>
  <c r="K36" i="31"/>
  <c r="L44" i="31"/>
  <c r="K44" i="31"/>
  <c r="L52" i="31"/>
  <c r="K52" i="31"/>
  <c r="L37" i="31"/>
  <c r="K37" i="31"/>
  <c r="L41" i="31"/>
  <c r="K41" i="31"/>
  <c r="L45" i="31"/>
  <c r="K45" i="31"/>
  <c r="L49" i="31"/>
  <c r="K49" i="31"/>
  <c r="L53" i="31"/>
  <c r="K53" i="31"/>
  <c r="L38" i="31"/>
  <c r="K38" i="31"/>
  <c r="L42" i="31"/>
  <c r="K42" i="31"/>
  <c r="L46" i="31"/>
  <c r="K46" i="31"/>
  <c r="L50" i="31"/>
  <c r="K50" i="31"/>
  <c r="L40" i="31"/>
  <c r="K40" i="31"/>
  <c r="L48" i="31"/>
  <c r="K48" i="31"/>
  <c r="L18" i="31"/>
  <c r="K18" i="31"/>
  <c r="L19" i="31"/>
  <c r="K19" i="31"/>
  <c r="L20" i="31"/>
  <c r="K20" i="31"/>
  <c r="L21" i="31"/>
  <c r="K21" i="31"/>
  <c r="L22" i="31"/>
  <c r="K22" i="31"/>
  <c r="L23" i="31"/>
  <c r="K23" i="31"/>
  <c r="L24" i="31"/>
  <c r="K24" i="31"/>
  <c r="L25" i="31"/>
  <c r="K25" i="31"/>
  <c r="L26" i="31"/>
  <c r="K26" i="31"/>
  <c r="L27" i="31"/>
  <c r="K27" i="31"/>
  <c r="L28" i="31"/>
  <c r="K28" i="31"/>
  <c r="L29" i="31"/>
  <c r="K29" i="31"/>
  <c r="L30" i="31"/>
  <c r="K30" i="31"/>
  <c r="L31" i="31"/>
  <c r="K31" i="31"/>
  <c r="L32" i="31"/>
  <c r="K32" i="31"/>
  <c r="L33" i="31"/>
  <c r="K33" i="31"/>
  <c r="L34" i="31"/>
  <c r="K34" i="31"/>
  <c r="L35" i="31"/>
  <c r="K35" i="31"/>
  <c r="L39" i="31"/>
  <c r="K39" i="31"/>
  <c r="L43" i="31"/>
  <c r="K43" i="31"/>
  <c r="L47" i="31"/>
  <c r="K47" i="31"/>
  <c r="L51" i="31"/>
  <c r="K51" i="31"/>
  <c r="L54" i="31"/>
  <c r="K54" i="31"/>
  <c r="N23" i="31"/>
  <c r="S74" i="31"/>
  <c r="N24" i="31"/>
  <c r="N72" i="2"/>
  <c r="J10" i="29"/>
  <c r="L10" i="29" s="1"/>
  <c r="J11" i="29"/>
  <c r="J12" i="29"/>
  <c r="K12" i="29" s="1"/>
  <c r="J13" i="29"/>
  <c r="K13" i="29" s="1"/>
  <c r="J14" i="29"/>
  <c r="L14" i="29" s="1"/>
  <c r="J15" i="29"/>
  <c r="J16" i="29"/>
  <c r="L16" i="29" s="1"/>
  <c r="J17" i="29"/>
  <c r="K17" i="29" s="1"/>
  <c r="M10" i="29"/>
  <c r="N10" i="29" s="1"/>
  <c r="M11" i="29"/>
  <c r="M12" i="29"/>
  <c r="M13" i="29"/>
  <c r="O13" i="29" s="1"/>
  <c r="M14" i="29"/>
  <c r="N14" i="29" s="1"/>
  <c r="M15" i="29"/>
  <c r="O15" i="29" s="1"/>
  <c r="M16" i="29"/>
  <c r="M17" i="29"/>
  <c r="M18" i="29"/>
  <c r="O18" i="29" s="1"/>
  <c r="M19" i="29"/>
  <c r="M20" i="29"/>
  <c r="M21" i="29"/>
  <c r="O21" i="29" s="1"/>
  <c r="M22" i="29"/>
  <c r="N22" i="29" s="1"/>
  <c r="M23" i="29"/>
  <c r="M24" i="29"/>
  <c r="M25" i="29"/>
  <c r="N25" i="29" s="1"/>
  <c r="M26" i="29"/>
  <c r="N26" i="29" s="1"/>
  <c r="M27" i="29"/>
  <c r="M28" i="29"/>
  <c r="M29" i="29"/>
  <c r="O29" i="29" s="1"/>
  <c r="M30" i="29"/>
  <c r="N30" i="29" s="1"/>
  <c r="M31" i="29"/>
  <c r="O31" i="29" s="1"/>
  <c r="M32" i="29"/>
  <c r="M33" i="29"/>
  <c r="N33" i="29" s="1"/>
  <c r="M34" i="29"/>
  <c r="N34" i="29" s="1"/>
  <c r="M35" i="29"/>
  <c r="M36" i="29"/>
  <c r="M37" i="29"/>
  <c r="O37" i="29" s="1"/>
  <c r="M38" i="29"/>
  <c r="O38" i="29" s="1"/>
  <c r="M39" i="29"/>
  <c r="M40" i="29"/>
  <c r="M41" i="29"/>
  <c r="N41" i="29" s="1"/>
  <c r="M42" i="29"/>
  <c r="N42" i="29" s="1"/>
  <c r="M43" i="29"/>
  <c r="M44" i="29"/>
  <c r="M45" i="29"/>
  <c r="O45" i="29" s="1"/>
  <c r="M46" i="29"/>
  <c r="N46" i="29" s="1"/>
  <c r="M47" i="29"/>
  <c r="O47" i="29" s="1"/>
  <c r="M48" i="29"/>
  <c r="M49" i="29"/>
  <c r="M50" i="29"/>
  <c r="O50" i="29" s="1"/>
  <c r="M51" i="29"/>
  <c r="M52" i="29"/>
  <c r="M53" i="29"/>
  <c r="O53" i="29" s="1"/>
  <c r="M54" i="29"/>
  <c r="N54" i="29" s="1"/>
  <c r="P10" i="29"/>
  <c r="R10" i="29" s="1"/>
  <c r="I10" i="29" s="1"/>
  <c r="P11" i="29"/>
  <c r="R11" i="29" s="1"/>
  <c r="I11" i="29" s="1"/>
  <c r="P12" i="29"/>
  <c r="R12" i="29" s="1"/>
  <c r="I12" i="29" s="1"/>
  <c r="P13" i="29"/>
  <c r="R13" i="29" s="1"/>
  <c r="I13" i="29" s="1"/>
  <c r="P14" i="29"/>
  <c r="R14" i="29" s="1"/>
  <c r="I14" i="29" s="1"/>
  <c r="P15" i="29"/>
  <c r="R15" i="29" s="1"/>
  <c r="I15" i="29" s="1"/>
  <c r="P16" i="29"/>
  <c r="R16" i="29" s="1"/>
  <c r="I16" i="29" s="1"/>
  <c r="P17" i="29"/>
  <c r="R17" i="29" s="1"/>
  <c r="I17" i="29" s="1"/>
  <c r="P18" i="29"/>
  <c r="R18" i="29" s="1"/>
  <c r="I18" i="29" s="1"/>
  <c r="Q10" i="29"/>
  <c r="Q11" i="29"/>
  <c r="Q12" i="29"/>
  <c r="Q13" i="29"/>
  <c r="Q14" i="29"/>
  <c r="Q15" i="29"/>
  <c r="Q16" i="29"/>
  <c r="Q17" i="29"/>
  <c r="Q18" i="29"/>
  <c r="S10" i="29"/>
  <c r="S11" i="29"/>
  <c r="S12" i="29"/>
  <c r="S13" i="29"/>
  <c r="S14" i="29"/>
  <c r="S15" i="29"/>
  <c r="S16" i="29"/>
  <c r="S17" i="29"/>
  <c r="J10" i="28"/>
  <c r="L10" i="28" s="1"/>
  <c r="J11" i="28"/>
  <c r="J12" i="28"/>
  <c r="L12" i="28" s="1"/>
  <c r="J13" i="28"/>
  <c r="K13" i="28" s="1"/>
  <c r="J14" i="28"/>
  <c r="K14" i="28" s="1"/>
  <c r="J15" i="28"/>
  <c r="J16" i="28"/>
  <c r="K16" i="28" s="1"/>
  <c r="J17" i="28"/>
  <c r="K17" i="28" s="1"/>
  <c r="M10" i="28"/>
  <c r="N10" i="28" s="1"/>
  <c r="M11" i="28"/>
  <c r="O11" i="28" s="1"/>
  <c r="M12" i="28"/>
  <c r="M13" i="28"/>
  <c r="N13" i="28" s="1"/>
  <c r="M14" i="28"/>
  <c r="N14" i="28" s="1"/>
  <c r="M15" i="28"/>
  <c r="N15" i="28" s="1"/>
  <c r="M16" i="28"/>
  <c r="M17" i="28"/>
  <c r="O17" i="28" s="1"/>
  <c r="M18" i="28"/>
  <c r="N18" i="28" s="1"/>
  <c r="M19" i="28"/>
  <c r="M20" i="28"/>
  <c r="M21" i="28"/>
  <c r="N21" i="28" s="1"/>
  <c r="M22" i="28"/>
  <c r="N22" i="28" s="1"/>
  <c r="M23" i="28"/>
  <c r="M24" i="28"/>
  <c r="M25" i="28"/>
  <c r="N25" i="28" s="1"/>
  <c r="M26" i="28"/>
  <c r="N26" i="28" s="1"/>
  <c r="M27" i="28"/>
  <c r="M28" i="28"/>
  <c r="M29" i="28"/>
  <c r="O29" i="28" s="1"/>
  <c r="M30" i="28"/>
  <c r="N30" i="28" s="1"/>
  <c r="M31" i="28"/>
  <c r="N31" i="28" s="1"/>
  <c r="M32" i="28"/>
  <c r="M33" i="28"/>
  <c r="N33" i="28" s="1"/>
  <c r="M34" i="28"/>
  <c r="N34" i="28" s="1"/>
  <c r="M35" i="28"/>
  <c r="N35" i="28" s="1"/>
  <c r="M36" i="28"/>
  <c r="M37" i="28"/>
  <c r="O37" i="28" s="1"/>
  <c r="M38" i="28"/>
  <c r="N38" i="28" s="1"/>
  <c r="M39" i="28"/>
  <c r="M40" i="28"/>
  <c r="M41" i="28"/>
  <c r="O41" i="28" s="1"/>
  <c r="M42" i="28"/>
  <c r="N42" i="28" s="1"/>
  <c r="M43" i="28"/>
  <c r="O43" i="28" s="1"/>
  <c r="M44" i="28"/>
  <c r="M45" i="28"/>
  <c r="N45" i="28" s="1"/>
  <c r="M46" i="28"/>
  <c r="N46" i="28" s="1"/>
  <c r="M47" i="28"/>
  <c r="N47" i="28" s="1"/>
  <c r="M48" i="28"/>
  <c r="M49" i="28"/>
  <c r="O49" i="28" s="1"/>
  <c r="M50" i="28"/>
  <c r="N50" i="28" s="1"/>
  <c r="M51" i="28"/>
  <c r="N51" i="28" s="1"/>
  <c r="M52" i="28"/>
  <c r="M53" i="28"/>
  <c r="N53" i="28" s="1"/>
  <c r="M54" i="28"/>
  <c r="N54" i="28" s="1"/>
  <c r="N11" i="28"/>
  <c r="P10" i="28"/>
  <c r="R10" i="28" s="1"/>
  <c r="I10" i="28" s="1"/>
  <c r="P11" i="28"/>
  <c r="R11" i="28" s="1"/>
  <c r="I11" i="28" s="1"/>
  <c r="P12" i="28"/>
  <c r="R12" i="28" s="1"/>
  <c r="I12" i="28" s="1"/>
  <c r="P13" i="28"/>
  <c r="R13" i="28" s="1"/>
  <c r="I13" i="28" s="1"/>
  <c r="P14" i="28"/>
  <c r="R14" i="28" s="1"/>
  <c r="I14" i="28" s="1"/>
  <c r="P15" i="28"/>
  <c r="R15" i="28" s="1"/>
  <c r="I15" i="28" s="1"/>
  <c r="P16" i="28"/>
  <c r="R16" i="28" s="1"/>
  <c r="I16" i="28" s="1"/>
  <c r="P17" i="28"/>
  <c r="R17" i="28" s="1"/>
  <c r="I17" i="28" s="1"/>
  <c r="P18" i="28"/>
  <c r="R18" i="28" s="1"/>
  <c r="I18" i="28" s="1"/>
  <c r="Q10" i="28"/>
  <c r="Q11" i="28"/>
  <c r="Q12" i="28"/>
  <c r="Q13" i="28"/>
  <c r="Q14" i="28"/>
  <c r="Q15" i="28"/>
  <c r="Q16" i="28"/>
  <c r="Q17" i="28"/>
  <c r="Q18" i="28"/>
  <c r="S10" i="28"/>
  <c r="S11" i="28"/>
  <c r="S12" i="28"/>
  <c r="S13" i="28"/>
  <c r="S14" i="28"/>
  <c r="S15" i="28"/>
  <c r="S16" i="28"/>
  <c r="S17" i="28"/>
  <c r="J11" i="26"/>
  <c r="L11" i="26" s="1"/>
  <c r="J12" i="26"/>
  <c r="J13" i="26"/>
  <c r="K13" i="26" s="1"/>
  <c r="J14" i="26"/>
  <c r="K14" i="26" s="1"/>
  <c r="J15" i="26"/>
  <c r="L15" i="26" s="1"/>
  <c r="J16" i="26"/>
  <c r="J17" i="26"/>
  <c r="K17" i="26" s="1"/>
  <c r="M11" i="26"/>
  <c r="O11" i="26" s="1"/>
  <c r="M12" i="26"/>
  <c r="O12" i="26" s="1"/>
  <c r="M13" i="26"/>
  <c r="M14" i="26"/>
  <c r="N14" i="26" s="1"/>
  <c r="M15" i="26"/>
  <c r="N15" i="26" s="1"/>
  <c r="M16" i="26"/>
  <c r="O16" i="26" s="1"/>
  <c r="M17" i="26"/>
  <c r="M18" i="26"/>
  <c r="N18" i="26" s="1"/>
  <c r="M19" i="26"/>
  <c r="O19" i="26" s="1"/>
  <c r="M20" i="26"/>
  <c r="O20" i="26" s="1"/>
  <c r="M21" i="26"/>
  <c r="M22" i="26"/>
  <c r="O22" i="26" s="1"/>
  <c r="M23" i="26"/>
  <c r="N23" i="26" s="1"/>
  <c r="M24" i="26"/>
  <c r="O24" i="26" s="1"/>
  <c r="M25" i="26"/>
  <c r="M26" i="26"/>
  <c r="O26" i="26" s="1"/>
  <c r="M27" i="26"/>
  <c r="O27" i="26" s="1"/>
  <c r="M28" i="26"/>
  <c r="O28" i="26" s="1"/>
  <c r="M29" i="26"/>
  <c r="M30" i="26"/>
  <c r="N30" i="26" s="1"/>
  <c r="M31" i="26"/>
  <c r="N31" i="26" s="1"/>
  <c r="M32" i="26"/>
  <c r="O32" i="26" s="1"/>
  <c r="M33" i="26"/>
  <c r="M34" i="26"/>
  <c r="N34" i="26" s="1"/>
  <c r="M35" i="26"/>
  <c r="O35" i="26" s="1"/>
  <c r="M36" i="26"/>
  <c r="O36" i="26" s="1"/>
  <c r="M37" i="26"/>
  <c r="M38" i="26"/>
  <c r="O38" i="26" s="1"/>
  <c r="M39" i="26"/>
  <c r="N39" i="26" s="1"/>
  <c r="M40" i="26"/>
  <c r="O40" i="26" s="1"/>
  <c r="M41" i="26"/>
  <c r="M42" i="26"/>
  <c r="O42" i="26" s="1"/>
  <c r="M43" i="26"/>
  <c r="O43" i="26" s="1"/>
  <c r="M44" i="26"/>
  <c r="O44" i="26" s="1"/>
  <c r="M45" i="26"/>
  <c r="M46" i="26"/>
  <c r="O46" i="26" s="1"/>
  <c r="M47" i="26"/>
  <c r="N47" i="26" s="1"/>
  <c r="M48" i="26"/>
  <c r="O48" i="26" s="1"/>
  <c r="M49" i="26"/>
  <c r="M50" i="26"/>
  <c r="N50" i="26" s="1"/>
  <c r="M51" i="26"/>
  <c r="O51" i="26" s="1"/>
  <c r="M52" i="26"/>
  <c r="O52" i="26" s="1"/>
  <c r="M53" i="26"/>
  <c r="M54" i="26"/>
  <c r="O54" i="26" s="1"/>
  <c r="N11" i="26"/>
  <c r="N12" i="26"/>
  <c r="P11" i="26"/>
  <c r="R11" i="26" s="1"/>
  <c r="I11" i="26" s="1"/>
  <c r="P12" i="26"/>
  <c r="R12" i="26" s="1"/>
  <c r="I12" i="26" s="1"/>
  <c r="P13" i="26"/>
  <c r="R13" i="26" s="1"/>
  <c r="I13" i="26" s="1"/>
  <c r="P14" i="26"/>
  <c r="R14" i="26" s="1"/>
  <c r="I14" i="26" s="1"/>
  <c r="P15" i="26"/>
  <c r="R15" i="26" s="1"/>
  <c r="I15" i="26" s="1"/>
  <c r="P16" i="26"/>
  <c r="R16" i="26" s="1"/>
  <c r="I16" i="26" s="1"/>
  <c r="P17" i="26"/>
  <c r="R17" i="26" s="1"/>
  <c r="I17" i="26" s="1"/>
  <c r="P18" i="26"/>
  <c r="R18" i="26" s="1"/>
  <c r="I18" i="26" s="1"/>
  <c r="Q11" i="26"/>
  <c r="Q12" i="26"/>
  <c r="Q13" i="26"/>
  <c r="Q14" i="26"/>
  <c r="Q15" i="26"/>
  <c r="Q16" i="26"/>
  <c r="Q17" i="26"/>
  <c r="Q18" i="26"/>
  <c r="S11" i="26"/>
  <c r="S12" i="26"/>
  <c r="S13" i="26"/>
  <c r="S14" i="26"/>
  <c r="S15" i="26"/>
  <c r="S16" i="26"/>
  <c r="S17" i="26"/>
  <c r="J14" i="25"/>
  <c r="L14" i="25" s="1"/>
  <c r="J15" i="25"/>
  <c r="K15" i="25" s="1"/>
  <c r="J16" i="25"/>
  <c r="K16" i="25" s="1"/>
  <c r="J17" i="25"/>
  <c r="K17" i="25" s="1"/>
  <c r="M14" i="25"/>
  <c r="N14" i="25" s="1"/>
  <c r="M15" i="25"/>
  <c r="M16" i="25"/>
  <c r="N16" i="25" s="1"/>
  <c r="M17" i="25"/>
  <c r="N17" i="25" s="1"/>
  <c r="M18" i="25"/>
  <c r="O18" i="25" s="1"/>
  <c r="M19" i="25"/>
  <c r="O19" i="25" s="1"/>
  <c r="M20" i="25"/>
  <c r="N20" i="25" s="1"/>
  <c r="M21" i="25"/>
  <c r="O21" i="25" s="1"/>
  <c r="M22" i="25"/>
  <c r="O22" i="25" s="1"/>
  <c r="M23" i="25"/>
  <c r="M24" i="25"/>
  <c r="N24" i="25" s="1"/>
  <c r="M25" i="25"/>
  <c r="N25" i="25" s="1"/>
  <c r="M26" i="25"/>
  <c r="N26" i="25" s="1"/>
  <c r="M27" i="25"/>
  <c r="M28" i="25"/>
  <c r="N28" i="25" s="1"/>
  <c r="M29" i="25"/>
  <c r="N29" i="25" s="1"/>
  <c r="M30" i="25"/>
  <c r="M31" i="25"/>
  <c r="M32" i="25"/>
  <c r="N32" i="25" s="1"/>
  <c r="M33" i="25"/>
  <c r="O33" i="25" s="1"/>
  <c r="M34" i="25"/>
  <c r="M35" i="25"/>
  <c r="O35" i="25" s="1"/>
  <c r="M36" i="25"/>
  <c r="N36" i="25" s="1"/>
  <c r="M37" i="25"/>
  <c r="N37" i="25" s="1"/>
  <c r="M38" i="25"/>
  <c r="O38" i="25" s="1"/>
  <c r="M39" i="25"/>
  <c r="M40" i="25"/>
  <c r="N40" i="25" s="1"/>
  <c r="M41" i="25"/>
  <c r="O41" i="25" s="1"/>
  <c r="M42" i="25"/>
  <c r="N42" i="25" s="1"/>
  <c r="M43" i="25"/>
  <c r="M44" i="25"/>
  <c r="N44" i="25" s="1"/>
  <c r="M45" i="25"/>
  <c r="N45" i="25" s="1"/>
  <c r="M46" i="25"/>
  <c r="N46" i="25" s="1"/>
  <c r="M47" i="25"/>
  <c r="M48" i="25"/>
  <c r="N48" i="25" s="1"/>
  <c r="M49" i="25"/>
  <c r="N49" i="25" s="1"/>
  <c r="M50" i="25"/>
  <c r="O50" i="25" s="1"/>
  <c r="M51" i="25"/>
  <c r="O51" i="25" s="1"/>
  <c r="M52" i="25"/>
  <c r="N52" i="25" s="1"/>
  <c r="M53" i="25"/>
  <c r="O53" i="25" s="1"/>
  <c r="M54" i="25"/>
  <c r="O54" i="25" s="1"/>
  <c r="P14" i="25"/>
  <c r="R14" i="25" s="1"/>
  <c r="I14" i="25" s="1"/>
  <c r="P15" i="25"/>
  <c r="R15" i="25" s="1"/>
  <c r="I15" i="25" s="1"/>
  <c r="P16" i="25"/>
  <c r="R16" i="25" s="1"/>
  <c r="I16" i="25" s="1"/>
  <c r="P17" i="25"/>
  <c r="R17" i="25" s="1"/>
  <c r="I17" i="25" s="1"/>
  <c r="P18" i="25"/>
  <c r="R18" i="25" s="1"/>
  <c r="I18" i="25" s="1"/>
  <c r="Q14" i="25"/>
  <c r="Q15" i="25"/>
  <c r="Q16" i="25"/>
  <c r="Q17" i="25"/>
  <c r="Q18" i="25"/>
  <c r="S14" i="25"/>
  <c r="S15" i="25"/>
  <c r="S16" i="25"/>
  <c r="S17" i="25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J5" i="25"/>
  <c r="M5" i="25"/>
  <c r="N5" i="25" s="1"/>
  <c r="P5" i="25"/>
  <c r="R5" i="25" s="1"/>
  <c r="I5" i="25" s="1"/>
  <c r="Q5" i="25"/>
  <c r="S5" i="25"/>
  <c r="J6" i="25"/>
  <c r="L6" i="25" s="1"/>
  <c r="M6" i="25"/>
  <c r="P6" i="25"/>
  <c r="R6" i="25" s="1"/>
  <c r="I6" i="25" s="1"/>
  <c r="Q6" i="25"/>
  <c r="S6" i="25"/>
  <c r="J7" i="25"/>
  <c r="M7" i="25"/>
  <c r="N7" i="25" s="1"/>
  <c r="P7" i="25"/>
  <c r="R7" i="25" s="1"/>
  <c r="I7" i="25" s="1"/>
  <c r="Q7" i="25"/>
  <c r="S7" i="25"/>
  <c r="J8" i="25"/>
  <c r="L8" i="25" s="1"/>
  <c r="M8" i="25"/>
  <c r="P8" i="25"/>
  <c r="R8" i="25" s="1"/>
  <c r="I8" i="25" s="1"/>
  <c r="Q8" i="25"/>
  <c r="S8" i="25"/>
  <c r="J9" i="25"/>
  <c r="M9" i="25"/>
  <c r="N9" i="25" s="1"/>
  <c r="P9" i="25"/>
  <c r="R9" i="25" s="1"/>
  <c r="I9" i="25" s="1"/>
  <c r="Q9" i="25"/>
  <c r="S9" i="25"/>
  <c r="J10" i="25"/>
  <c r="L10" i="25" s="1"/>
  <c r="M10" i="25"/>
  <c r="P10" i="25"/>
  <c r="R10" i="25" s="1"/>
  <c r="I10" i="25" s="1"/>
  <c r="Q10" i="25"/>
  <c r="S10" i="25"/>
  <c r="J11" i="25"/>
  <c r="M11" i="25"/>
  <c r="N11" i="25" s="1"/>
  <c r="P11" i="25"/>
  <c r="R11" i="25" s="1"/>
  <c r="I11" i="25" s="1"/>
  <c r="Q11" i="25"/>
  <c r="S11" i="25"/>
  <c r="J12" i="25"/>
  <c r="L12" i="25" s="1"/>
  <c r="M12" i="25"/>
  <c r="P12" i="25"/>
  <c r="R12" i="25" s="1"/>
  <c r="I12" i="25" s="1"/>
  <c r="Q12" i="25"/>
  <c r="S12" i="25"/>
  <c r="J13" i="25"/>
  <c r="M13" i="25"/>
  <c r="P13" i="25"/>
  <c r="R13" i="25" s="1"/>
  <c r="I13" i="25" s="1"/>
  <c r="Q13" i="25"/>
  <c r="S13" i="25"/>
  <c r="P66" i="28"/>
  <c r="P59" i="31"/>
  <c r="P60" i="31"/>
  <c r="P67" i="29"/>
  <c r="Q56" i="31"/>
  <c r="P70" i="7"/>
  <c r="P66" i="31"/>
  <c r="Q68" i="7"/>
  <c r="P61" i="31"/>
  <c r="P58" i="31"/>
  <c r="Q62" i="31"/>
  <c r="Q55" i="31"/>
  <c r="Q66" i="25"/>
  <c r="P69" i="7"/>
  <c r="Q66" i="31"/>
  <c r="Q60" i="31"/>
  <c r="Q67" i="25"/>
  <c r="P57" i="31"/>
  <c r="P71" i="7"/>
  <c r="P65" i="31"/>
  <c r="P55" i="31"/>
  <c r="P63" i="31"/>
  <c r="P62" i="31"/>
  <c r="Q61" i="31"/>
  <c r="Q57" i="31"/>
  <c r="P56" i="31"/>
  <c r="Q65" i="31"/>
  <c r="Q59" i="31"/>
  <c r="Q67" i="26"/>
  <c r="Q70" i="7"/>
  <c r="P68" i="7"/>
  <c r="Q63" i="31"/>
  <c r="Q71" i="7"/>
  <c r="P67" i="28"/>
  <c r="Q58" i="31"/>
  <c r="P64" i="31"/>
  <c r="Q64" i="31"/>
  <c r="Q67" i="31"/>
  <c r="Q72" i="7"/>
  <c r="Q69" i="7"/>
  <c r="R72" i="7" l="1"/>
  <c r="I72" i="7" s="1"/>
  <c r="R71" i="7"/>
  <c r="I71" i="7" s="1"/>
  <c r="R70" i="7"/>
  <c r="I70" i="7" s="1"/>
  <c r="R65" i="31"/>
  <c r="I65" i="31" s="1"/>
  <c r="R67" i="31"/>
  <c r="I67" i="31" s="1"/>
  <c r="R66" i="31"/>
  <c r="I66" i="31" s="1"/>
  <c r="R64" i="31"/>
  <c r="I64" i="31" s="1"/>
  <c r="O22" i="29"/>
  <c r="N38" i="29"/>
  <c r="R69" i="7"/>
  <c r="I69" i="7" s="1"/>
  <c r="R68" i="7"/>
  <c r="I68" i="7" s="1"/>
  <c r="R63" i="31"/>
  <c r="I63" i="31" s="1"/>
  <c r="R61" i="31"/>
  <c r="I61" i="31" s="1"/>
  <c r="R60" i="31"/>
  <c r="I60" i="31" s="1"/>
  <c r="R62" i="31"/>
  <c r="I62" i="31" s="1"/>
  <c r="O48" i="25"/>
  <c r="N43" i="28"/>
  <c r="O32" i="25"/>
  <c r="O46" i="28"/>
  <c r="R59" i="31"/>
  <c r="I59" i="31" s="1"/>
  <c r="R58" i="31"/>
  <c r="I58" i="31" s="1"/>
  <c r="R57" i="31"/>
  <c r="I57" i="31" s="1"/>
  <c r="R56" i="31"/>
  <c r="I56" i="31" s="1"/>
  <c r="R55" i="31"/>
  <c r="I55" i="31" s="1"/>
  <c r="O54" i="29"/>
  <c r="O10" i="29"/>
  <c r="N18" i="29"/>
  <c r="O34" i="29"/>
  <c r="N50" i="29"/>
  <c r="O42" i="29"/>
  <c r="O26" i="29"/>
  <c r="N37" i="28"/>
  <c r="O21" i="28"/>
  <c r="N32" i="26"/>
  <c r="N48" i="26"/>
  <c r="N28" i="26"/>
  <c r="O30" i="26"/>
  <c r="N16" i="26"/>
  <c r="O11" i="25"/>
  <c r="O7" i="25"/>
  <c r="O5" i="25"/>
  <c r="O9" i="25"/>
  <c r="O16" i="25"/>
  <c r="O49" i="25"/>
  <c r="N41" i="25"/>
  <c r="N49" i="29"/>
  <c r="O49" i="29"/>
  <c r="N17" i="29"/>
  <c r="O17" i="29"/>
  <c r="N13" i="25"/>
  <c r="O13" i="25"/>
  <c r="N44" i="26"/>
  <c r="N24" i="26"/>
  <c r="O42" i="25"/>
  <c r="O14" i="25"/>
  <c r="N40" i="26"/>
  <c r="N20" i="26"/>
  <c r="O34" i="28"/>
  <c r="O14" i="28"/>
  <c r="N39" i="28"/>
  <c r="O39" i="28"/>
  <c r="N23" i="28"/>
  <c r="O23" i="28"/>
  <c r="O19" i="28"/>
  <c r="N19" i="28"/>
  <c r="O27" i="28"/>
  <c r="N27" i="28"/>
  <c r="O35" i="28"/>
  <c r="O34" i="25"/>
  <c r="N34" i="25"/>
  <c r="N30" i="25"/>
  <c r="O30" i="25"/>
  <c r="O51" i="28"/>
  <c r="O37" i="25"/>
  <c r="O17" i="25"/>
  <c r="N46" i="26"/>
  <c r="O25" i="25"/>
  <c r="O53" i="28"/>
  <c r="O26" i="28"/>
  <c r="N49" i="28"/>
  <c r="N17" i="28"/>
  <c r="O46" i="29"/>
  <c r="O30" i="29"/>
  <c r="K10" i="29"/>
  <c r="K10" i="28"/>
  <c r="O33" i="29"/>
  <c r="O38" i="28"/>
  <c r="O41" i="29"/>
  <c r="O46" i="25"/>
  <c r="N50" i="25"/>
  <c r="O14" i="26"/>
  <c r="N43" i="26"/>
  <c r="O50" i="28"/>
  <c r="O42" i="28"/>
  <c r="O30" i="28"/>
  <c r="O18" i="28"/>
  <c r="O10" i="28"/>
  <c r="L12" i="29"/>
  <c r="O26" i="25"/>
  <c r="N18" i="25"/>
  <c r="N27" i="26"/>
  <c r="O54" i="28"/>
  <c r="O22" i="28"/>
  <c r="O25" i="29"/>
  <c r="O14" i="29"/>
  <c r="K16" i="29"/>
  <c r="O45" i="25"/>
  <c r="N53" i="25"/>
  <c r="N33" i="25"/>
  <c r="N21" i="25"/>
  <c r="O50" i="26"/>
  <c r="O34" i="26"/>
  <c r="O18" i="26"/>
  <c r="N42" i="26"/>
  <c r="N26" i="26"/>
  <c r="O47" i="28"/>
  <c r="O31" i="28"/>
  <c r="O15" i="28"/>
  <c r="O29" i="25"/>
  <c r="N54" i="26"/>
  <c r="N38" i="26"/>
  <c r="N22" i="26"/>
  <c r="N53" i="29"/>
  <c r="N45" i="29"/>
  <c r="N37" i="29"/>
  <c r="N29" i="29"/>
  <c r="N21" i="29"/>
  <c r="N13" i="29"/>
  <c r="L14" i="28"/>
  <c r="K14" i="29"/>
  <c r="L13" i="29"/>
  <c r="L16" i="28"/>
  <c r="L17" i="29"/>
  <c r="O23" i="29"/>
  <c r="N23" i="29"/>
  <c r="O19" i="29"/>
  <c r="N19" i="29"/>
  <c r="O11" i="29"/>
  <c r="N11" i="29"/>
  <c r="N15" i="29"/>
  <c r="N31" i="29"/>
  <c r="O51" i="29"/>
  <c r="N51" i="29"/>
  <c r="O43" i="29"/>
  <c r="N43" i="29"/>
  <c r="O39" i="29"/>
  <c r="N39" i="29"/>
  <c r="O35" i="29"/>
  <c r="N35" i="29"/>
  <c r="O27" i="29"/>
  <c r="N27" i="29"/>
  <c r="N47" i="29"/>
  <c r="K15" i="29"/>
  <c r="L15" i="29"/>
  <c r="K11" i="29"/>
  <c r="L11" i="29"/>
  <c r="N52" i="29"/>
  <c r="O52" i="29"/>
  <c r="N48" i="29"/>
  <c r="O48" i="29"/>
  <c r="N44" i="29"/>
  <c r="O44" i="29"/>
  <c r="N40" i="29"/>
  <c r="O40" i="29"/>
  <c r="N36" i="29"/>
  <c r="O36" i="29"/>
  <c r="N32" i="29"/>
  <c r="O32" i="29"/>
  <c r="N28" i="29"/>
  <c r="O28" i="29"/>
  <c r="N24" i="29"/>
  <c r="O24" i="29"/>
  <c r="N20" i="29"/>
  <c r="O20" i="29"/>
  <c r="N16" i="29"/>
  <c r="O16" i="29"/>
  <c r="N12" i="29"/>
  <c r="O12" i="29"/>
  <c r="L13" i="28"/>
  <c r="K12" i="28"/>
  <c r="O47" i="26"/>
  <c r="O39" i="26"/>
  <c r="O31" i="26"/>
  <c r="O23" i="26"/>
  <c r="O15" i="26"/>
  <c r="N52" i="26"/>
  <c r="N36" i="26"/>
  <c r="K11" i="26"/>
  <c r="L17" i="28"/>
  <c r="N51" i="26"/>
  <c r="N35" i="26"/>
  <c r="N19" i="26"/>
  <c r="K15" i="28"/>
  <c r="L15" i="28"/>
  <c r="K11" i="28"/>
  <c r="L11" i="28"/>
  <c r="L17" i="26"/>
  <c r="N52" i="28"/>
  <c r="O52" i="28"/>
  <c r="N48" i="28"/>
  <c r="O48" i="28"/>
  <c r="N44" i="28"/>
  <c r="O44" i="28"/>
  <c r="N40" i="28"/>
  <c r="O40" i="28"/>
  <c r="N36" i="28"/>
  <c r="O36" i="28"/>
  <c r="N32" i="28"/>
  <c r="O32" i="28"/>
  <c r="N28" i="28"/>
  <c r="O28" i="28"/>
  <c r="N24" i="28"/>
  <c r="O24" i="28"/>
  <c r="N20" i="28"/>
  <c r="O20" i="28"/>
  <c r="N16" i="28"/>
  <c r="O16" i="28"/>
  <c r="N12" i="28"/>
  <c r="O12" i="28"/>
  <c r="K8" i="25"/>
  <c r="L14" i="26"/>
  <c r="K15" i="26"/>
  <c r="K14" i="25"/>
  <c r="L13" i="26"/>
  <c r="L16" i="25"/>
  <c r="K12" i="26"/>
  <c r="L12" i="26"/>
  <c r="K16" i="26"/>
  <c r="L16" i="26"/>
  <c r="N53" i="26"/>
  <c r="O53" i="26"/>
  <c r="N49" i="26"/>
  <c r="O49" i="26"/>
  <c r="N45" i="26"/>
  <c r="O45" i="26"/>
  <c r="N41" i="26"/>
  <c r="O41" i="26"/>
  <c r="N37" i="26"/>
  <c r="O37" i="26"/>
  <c r="N33" i="26"/>
  <c r="O33" i="26"/>
  <c r="N29" i="26"/>
  <c r="O29" i="26"/>
  <c r="N25" i="26"/>
  <c r="O25" i="26"/>
  <c r="N21" i="26"/>
  <c r="O21" i="26"/>
  <c r="N17" i="26"/>
  <c r="O17" i="26"/>
  <c r="N13" i="26"/>
  <c r="O13" i="26"/>
  <c r="L17" i="25"/>
  <c r="K12" i="25"/>
  <c r="K6" i="25"/>
  <c r="K10" i="25"/>
  <c r="N8" i="25"/>
  <c r="O8" i="25"/>
  <c r="O43" i="25"/>
  <c r="N43" i="25"/>
  <c r="O27" i="25"/>
  <c r="N27" i="25"/>
  <c r="O23" i="25"/>
  <c r="N23" i="25"/>
  <c r="O15" i="25"/>
  <c r="N15" i="25"/>
  <c r="L13" i="25"/>
  <c r="K13" i="25"/>
  <c r="N10" i="25"/>
  <c r="O10" i="25"/>
  <c r="L5" i="25"/>
  <c r="K5" i="25"/>
  <c r="N12" i="25"/>
  <c r="O12" i="25"/>
  <c r="L7" i="25"/>
  <c r="K7" i="25"/>
  <c r="N35" i="25"/>
  <c r="L11" i="25"/>
  <c r="K11" i="25"/>
  <c r="O47" i="25"/>
  <c r="N47" i="25"/>
  <c r="O39" i="25"/>
  <c r="N39" i="25"/>
  <c r="O31" i="25"/>
  <c r="N31" i="25"/>
  <c r="N19" i="25"/>
  <c r="L9" i="25"/>
  <c r="K9" i="25"/>
  <c r="N6" i="25"/>
  <c r="O6" i="25"/>
  <c r="N51" i="25"/>
  <c r="N54" i="25"/>
  <c r="N38" i="25"/>
  <c r="N22" i="25"/>
  <c r="L15" i="25"/>
  <c r="H71" i="2"/>
  <c r="I71" i="2"/>
  <c r="J71" i="2"/>
  <c r="K71" i="2"/>
  <c r="L71" i="2"/>
  <c r="M71" i="2"/>
  <c r="P71" i="2"/>
  <c r="Q71" i="2"/>
  <c r="R71" i="2"/>
  <c r="S71" i="2"/>
  <c r="H70" i="2"/>
  <c r="I70" i="2"/>
  <c r="J70" i="2"/>
  <c r="K70" i="2"/>
  <c r="L70" i="2"/>
  <c r="M70" i="2"/>
  <c r="P70" i="2"/>
  <c r="Q70" i="2"/>
  <c r="R70" i="2"/>
  <c r="S70" i="2"/>
  <c r="H69" i="2"/>
  <c r="I69" i="2"/>
  <c r="J69" i="2"/>
  <c r="K69" i="2"/>
  <c r="L69" i="2"/>
  <c r="M69" i="2"/>
  <c r="P69" i="2"/>
  <c r="Q69" i="2"/>
  <c r="R69" i="2"/>
  <c r="S69" i="2"/>
  <c r="C18" i="16"/>
  <c r="O29" i="4"/>
  <c r="O30" i="4"/>
  <c r="O31" i="4"/>
  <c r="O32" i="4"/>
  <c r="S9" i="29"/>
  <c r="Q9" i="29"/>
  <c r="P9" i="29"/>
  <c r="R9" i="29" s="1"/>
  <c r="I9" i="29" s="1"/>
  <c r="M9" i="29"/>
  <c r="O9" i="29" s="1"/>
  <c r="J9" i="29"/>
  <c r="L9" i="29" s="1"/>
  <c r="S8" i="29"/>
  <c r="Q8" i="29"/>
  <c r="P8" i="29"/>
  <c r="R8" i="29" s="1"/>
  <c r="I8" i="29" s="1"/>
  <c r="M8" i="29"/>
  <c r="O8" i="29" s="1"/>
  <c r="J8" i="29"/>
  <c r="K8" i="29" s="1"/>
  <c r="S7" i="29"/>
  <c r="Q7" i="29"/>
  <c r="P7" i="29"/>
  <c r="R7" i="29" s="1"/>
  <c r="I7" i="29" s="1"/>
  <c r="M7" i="29"/>
  <c r="O7" i="29" s="1"/>
  <c r="J7" i="29"/>
  <c r="K7" i="29" s="1"/>
  <c r="S6" i="29"/>
  <c r="Q6" i="29"/>
  <c r="P6" i="29"/>
  <c r="R6" i="29" s="1"/>
  <c r="I6" i="29" s="1"/>
  <c r="M6" i="29"/>
  <c r="O6" i="29" s="1"/>
  <c r="J6" i="29"/>
  <c r="K6" i="29" s="1"/>
  <c r="S5" i="29"/>
  <c r="Q5" i="29"/>
  <c r="P5" i="29"/>
  <c r="R5" i="29" s="1"/>
  <c r="I5" i="29" s="1"/>
  <c r="M5" i="29"/>
  <c r="O5" i="29" s="1"/>
  <c r="J5" i="29"/>
  <c r="K5" i="29" s="1"/>
  <c r="H5" i="29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68" i="2"/>
  <c r="I68" i="2"/>
  <c r="J68" i="2"/>
  <c r="K68" i="2"/>
  <c r="L68" i="2"/>
  <c r="M68" i="2"/>
  <c r="P68" i="2"/>
  <c r="Q68" i="2"/>
  <c r="R68" i="2"/>
  <c r="S68" i="2"/>
  <c r="AH28" i="16"/>
  <c r="AK28" i="16" s="1"/>
  <c r="AH24" i="16"/>
  <c r="AK24" i="16" s="1"/>
  <c r="AH25" i="16"/>
  <c r="AK25" i="16" s="1"/>
  <c r="AH26" i="16"/>
  <c r="AK26" i="16" s="1"/>
  <c r="AH27" i="16"/>
  <c r="AK27" i="16" s="1"/>
  <c r="C17" i="16"/>
  <c r="N28" i="4"/>
  <c r="N29" i="4"/>
  <c r="N30" i="4"/>
  <c r="N31" i="4"/>
  <c r="N32" i="4"/>
  <c r="M27" i="4"/>
  <c r="K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B32" i="4"/>
  <c r="C32" i="4"/>
  <c r="D32" i="4"/>
  <c r="E32" i="4"/>
  <c r="F32" i="4"/>
  <c r="G32" i="4"/>
  <c r="H32" i="4"/>
  <c r="I32" i="4"/>
  <c r="J32" i="4"/>
  <c r="L32" i="4"/>
  <c r="M32" i="4"/>
  <c r="B31" i="4"/>
  <c r="C31" i="4"/>
  <c r="D31" i="4"/>
  <c r="E31" i="4"/>
  <c r="F31" i="4"/>
  <c r="G31" i="4"/>
  <c r="H31" i="4"/>
  <c r="I31" i="4"/>
  <c r="J31" i="4"/>
  <c r="L31" i="4"/>
  <c r="M31" i="4"/>
  <c r="B30" i="4"/>
  <c r="C30" i="4"/>
  <c r="D30" i="4"/>
  <c r="E30" i="4"/>
  <c r="F30" i="4"/>
  <c r="G30" i="4"/>
  <c r="H30" i="4"/>
  <c r="I30" i="4"/>
  <c r="J30" i="4"/>
  <c r="L30" i="4"/>
  <c r="M30" i="4"/>
  <c r="B29" i="4"/>
  <c r="C29" i="4"/>
  <c r="D29" i="4"/>
  <c r="E29" i="4"/>
  <c r="F29" i="4"/>
  <c r="G29" i="4"/>
  <c r="H29" i="4"/>
  <c r="I29" i="4"/>
  <c r="J29" i="4"/>
  <c r="L29" i="4"/>
  <c r="M29" i="4"/>
  <c r="B28" i="4"/>
  <c r="C28" i="4"/>
  <c r="D28" i="4"/>
  <c r="E28" i="4"/>
  <c r="F28" i="4"/>
  <c r="G28" i="4"/>
  <c r="H28" i="4"/>
  <c r="I28" i="4"/>
  <c r="J28" i="4"/>
  <c r="L28" i="4"/>
  <c r="M28" i="4"/>
  <c r="J9" i="28"/>
  <c r="L9" i="28" s="1"/>
  <c r="M9" i="28"/>
  <c r="N9" i="28" s="1"/>
  <c r="P9" i="28"/>
  <c r="R9" i="28" s="1"/>
  <c r="I9" i="28" s="1"/>
  <c r="Q9" i="28"/>
  <c r="S9" i="28"/>
  <c r="J8" i="28"/>
  <c r="L8" i="28" s="1"/>
  <c r="M8" i="28"/>
  <c r="N8" i="28" s="1"/>
  <c r="P8" i="28"/>
  <c r="R8" i="28" s="1"/>
  <c r="I8" i="28" s="1"/>
  <c r="Q8" i="28"/>
  <c r="S8" i="28"/>
  <c r="J7" i="28"/>
  <c r="K7" i="28" s="1"/>
  <c r="M7" i="28"/>
  <c r="N7" i="28" s="1"/>
  <c r="P7" i="28"/>
  <c r="R7" i="28" s="1"/>
  <c r="I7" i="28" s="1"/>
  <c r="Q7" i="28"/>
  <c r="S7" i="28"/>
  <c r="J6" i="28"/>
  <c r="L6" i="28" s="1"/>
  <c r="M6" i="28"/>
  <c r="N6" i="28" s="1"/>
  <c r="P6" i="28"/>
  <c r="R6" i="28" s="1"/>
  <c r="I6" i="28" s="1"/>
  <c r="Q6" i="28"/>
  <c r="S6" i="28"/>
  <c r="J10" i="26"/>
  <c r="L10" i="26" s="1"/>
  <c r="M10" i="26"/>
  <c r="O10" i="26" s="1"/>
  <c r="P10" i="26"/>
  <c r="R10" i="26" s="1"/>
  <c r="I10" i="26" s="1"/>
  <c r="Q10" i="26"/>
  <c r="S10" i="26"/>
  <c r="J9" i="26"/>
  <c r="L9" i="26" s="1"/>
  <c r="M9" i="26"/>
  <c r="O9" i="26" s="1"/>
  <c r="P9" i="26"/>
  <c r="R9" i="26" s="1"/>
  <c r="I9" i="26" s="1"/>
  <c r="Q9" i="26"/>
  <c r="S9" i="26"/>
  <c r="J8" i="26"/>
  <c r="K8" i="26" s="1"/>
  <c r="M8" i="26"/>
  <c r="N8" i="26" s="1"/>
  <c r="P8" i="26"/>
  <c r="R8" i="26" s="1"/>
  <c r="I8" i="26" s="1"/>
  <c r="Q8" i="26"/>
  <c r="S8" i="26"/>
  <c r="J7" i="26"/>
  <c r="L7" i="26" s="1"/>
  <c r="M7" i="26"/>
  <c r="N7" i="26" s="1"/>
  <c r="P7" i="26"/>
  <c r="R7" i="26" s="1"/>
  <c r="I7" i="26" s="1"/>
  <c r="Q7" i="26"/>
  <c r="S7" i="26"/>
  <c r="J6" i="26"/>
  <c r="L6" i="26" s="1"/>
  <c r="M6" i="26"/>
  <c r="N6" i="26" s="1"/>
  <c r="P6" i="26"/>
  <c r="R6" i="26" s="1"/>
  <c r="I6" i="26" s="1"/>
  <c r="Q6" i="26"/>
  <c r="S6" i="26"/>
  <c r="P66" i="29"/>
  <c r="Q66" i="26"/>
  <c r="P62" i="28"/>
  <c r="P61" i="25"/>
  <c r="Q66" i="29"/>
  <c r="P67" i="26"/>
  <c r="Q61" i="29"/>
  <c r="P62" i="25"/>
  <c r="P66" i="26"/>
  <c r="Q66" i="28"/>
  <c r="P64" i="25"/>
  <c r="Q63" i="26"/>
  <c r="P60" i="26"/>
  <c r="Q63" i="28"/>
  <c r="P64" i="26"/>
  <c r="P63" i="25"/>
  <c r="Q65" i="29"/>
  <c r="P67" i="25"/>
  <c r="P63" i="28"/>
  <c r="P60" i="29"/>
  <c r="Q64" i="29"/>
  <c r="P65" i="25"/>
  <c r="Q60" i="28"/>
  <c r="Q67" i="29"/>
  <c r="P61" i="29"/>
  <c r="P64" i="28"/>
  <c r="Q62" i="26"/>
  <c r="Q60" i="29"/>
  <c r="P65" i="28"/>
  <c r="P61" i="28"/>
  <c r="P66" i="25"/>
  <c r="Q67" i="28"/>
  <c r="P64" i="29"/>
  <c r="Q62" i="28"/>
  <c r="Q64" i="28"/>
  <c r="P62" i="29"/>
  <c r="Q61" i="28"/>
  <c r="P60" i="28"/>
  <c r="P65" i="26"/>
  <c r="Q63" i="29"/>
  <c r="P60" i="25"/>
  <c r="Q65" i="28"/>
  <c r="P65" i="29"/>
  <c r="Q64" i="26"/>
  <c r="Q60" i="26"/>
  <c r="Q61" i="26"/>
  <c r="P63" i="26"/>
  <c r="Q62" i="29"/>
  <c r="P63" i="29"/>
  <c r="P61" i="26"/>
  <c r="P62" i="26"/>
  <c r="Q65" i="26"/>
  <c r="R65" i="29" l="1"/>
  <c r="I65" i="29" s="1"/>
  <c r="R67" i="29"/>
  <c r="I67" i="29" s="1"/>
  <c r="R66" i="29"/>
  <c r="I66" i="29" s="1"/>
  <c r="R64" i="29"/>
  <c r="I64" i="29" s="1"/>
  <c r="R65" i="28"/>
  <c r="I65" i="28" s="1"/>
  <c r="R67" i="28"/>
  <c r="I67" i="28" s="1"/>
  <c r="R66" i="28"/>
  <c r="I66" i="28" s="1"/>
  <c r="R64" i="28"/>
  <c r="I64" i="28" s="1"/>
  <c r="R67" i="26"/>
  <c r="I67" i="26" s="1"/>
  <c r="R66" i="26"/>
  <c r="I66" i="26" s="1"/>
  <c r="R65" i="26"/>
  <c r="I65" i="26" s="1"/>
  <c r="R64" i="26"/>
  <c r="I64" i="26" s="1"/>
  <c r="R66" i="25"/>
  <c r="I66" i="25" s="1"/>
  <c r="R67" i="25"/>
  <c r="I67" i="25" s="1"/>
  <c r="R61" i="29"/>
  <c r="I61" i="29" s="1"/>
  <c r="R63" i="26"/>
  <c r="I63" i="26" s="1"/>
  <c r="R62" i="29"/>
  <c r="I62" i="29" s="1"/>
  <c r="R61" i="26"/>
  <c r="I61" i="26" s="1"/>
  <c r="R60" i="26"/>
  <c r="I60" i="26" s="1"/>
  <c r="R63" i="28"/>
  <c r="I63" i="28" s="1"/>
  <c r="R63" i="29"/>
  <c r="I63" i="29" s="1"/>
  <c r="R62" i="26"/>
  <c r="I62" i="26" s="1"/>
  <c r="R61" i="28"/>
  <c r="I61" i="28" s="1"/>
  <c r="R60" i="28"/>
  <c r="I60" i="28" s="1"/>
  <c r="R60" i="29"/>
  <c r="I60" i="29" s="1"/>
  <c r="R62" i="28"/>
  <c r="I62" i="28" s="1"/>
  <c r="O44" i="25"/>
  <c r="O28" i="25"/>
  <c r="O45" i="28"/>
  <c r="O13" i="28"/>
  <c r="N29" i="28"/>
  <c r="O52" i="25"/>
  <c r="O40" i="25"/>
  <c r="O24" i="25"/>
  <c r="O33" i="28"/>
  <c r="O36" i="25"/>
  <c r="O20" i="25"/>
  <c r="O25" i="28"/>
  <c r="N41" i="28"/>
  <c r="N71" i="2"/>
  <c r="O71" i="2"/>
  <c r="O69" i="2"/>
  <c r="O70" i="2"/>
  <c r="N70" i="2"/>
  <c r="N69" i="2"/>
  <c r="O68" i="2"/>
  <c r="N68" i="2"/>
  <c r="L8" i="29"/>
  <c r="L6" i="29"/>
  <c r="L5" i="29"/>
  <c r="L7" i="29"/>
  <c r="N5" i="29"/>
  <c r="N6" i="29"/>
  <c r="N7" i="29"/>
  <c r="N8" i="29"/>
  <c r="N9" i="29"/>
  <c r="K9" i="29"/>
  <c r="O9" i="28"/>
  <c r="K8" i="28"/>
  <c r="K9" i="28"/>
  <c r="O6" i="28"/>
  <c r="O8" i="28"/>
  <c r="L7" i="28"/>
  <c r="K6" i="28"/>
  <c r="O7" i="28"/>
  <c r="N10" i="26"/>
  <c r="N9" i="26"/>
  <c r="K10" i="26"/>
  <c r="K7" i="26"/>
  <c r="K9" i="26"/>
  <c r="L8" i="26"/>
  <c r="O8" i="26"/>
  <c r="O6" i="26"/>
  <c r="O7" i="26"/>
  <c r="K6" i="26"/>
  <c r="M54" i="20"/>
  <c r="N54" i="20" s="1"/>
  <c r="M53" i="20"/>
  <c r="N53" i="20" s="1"/>
  <c r="M52" i="20"/>
  <c r="O52" i="20" s="1"/>
  <c r="M51" i="20"/>
  <c r="N51" i="20" s="1"/>
  <c r="M50" i="20"/>
  <c r="N50" i="20" s="1"/>
  <c r="M54" i="19"/>
  <c r="N54" i="19" s="1"/>
  <c r="M53" i="19"/>
  <c r="O53" i="19" s="1"/>
  <c r="M52" i="19"/>
  <c r="N52" i="19" s="1"/>
  <c r="M51" i="19"/>
  <c r="O51" i="19" s="1"/>
  <c r="M50" i="19"/>
  <c r="N50" i="19" s="1"/>
  <c r="M54" i="18"/>
  <c r="N54" i="18" s="1"/>
  <c r="M53" i="18"/>
  <c r="N53" i="18" s="1"/>
  <c r="M52" i="18"/>
  <c r="N52" i="18" s="1"/>
  <c r="M51" i="18"/>
  <c r="N51" i="18" s="1"/>
  <c r="M50" i="18"/>
  <c r="N50" i="18" s="1"/>
  <c r="M54" i="17"/>
  <c r="N54" i="17" s="1"/>
  <c r="M53" i="17"/>
  <c r="N53" i="17" s="1"/>
  <c r="M52" i="17"/>
  <c r="N52" i="17" s="1"/>
  <c r="M51" i="17"/>
  <c r="N51" i="17" s="1"/>
  <c r="M50" i="17"/>
  <c r="O50" i="17" s="1"/>
  <c r="P66" i="18"/>
  <c r="P67" i="19"/>
  <c r="P64" i="18"/>
  <c r="P64" i="17"/>
  <c r="P66" i="17"/>
  <c r="P67" i="17"/>
  <c r="P67" i="20"/>
  <c r="P66" i="20"/>
  <c r="Q65" i="25"/>
  <c r="Q64" i="25"/>
  <c r="P67" i="18"/>
  <c r="P65" i="17"/>
  <c r="P65" i="18"/>
  <c r="AK5" i="4" l="1"/>
  <c r="R65" i="25"/>
  <c r="I65" i="25" s="1"/>
  <c r="R64" i="25"/>
  <c r="I64" i="25" s="1"/>
  <c r="O53" i="17"/>
  <c r="O54" i="18"/>
  <c r="AJ5" i="4"/>
  <c r="N52" i="20"/>
  <c r="O54" i="20"/>
  <c r="O54" i="17"/>
  <c r="O53" i="20"/>
  <c r="O51" i="20"/>
  <c r="O50" i="20"/>
  <c r="O54" i="19"/>
  <c r="N53" i="19"/>
  <c r="N51" i="19"/>
  <c r="O50" i="19"/>
  <c r="O52" i="19"/>
  <c r="O51" i="18"/>
  <c r="O53" i="18"/>
  <c r="O52" i="18"/>
  <c r="O50" i="18"/>
  <c r="O52" i="17"/>
  <c r="N50" i="17"/>
  <c r="O51" i="17"/>
  <c r="M54" i="13"/>
  <c r="O54" i="13" s="1"/>
  <c r="M53" i="13"/>
  <c r="O53" i="13" s="1"/>
  <c r="M52" i="13"/>
  <c r="N52" i="13" s="1"/>
  <c r="M51" i="13"/>
  <c r="N51" i="13" s="1"/>
  <c r="M50" i="13"/>
  <c r="N50" i="13" s="1"/>
  <c r="M54" i="12"/>
  <c r="N54" i="12" s="1"/>
  <c r="M53" i="12"/>
  <c r="O53" i="12" s="1"/>
  <c r="M52" i="12"/>
  <c r="N52" i="12" s="1"/>
  <c r="M51" i="12"/>
  <c r="O51" i="12" s="1"/>
  <c r="M50" i="12"/>
  <c r="N50" i="12" s="1"/>
  <c r="M54" i="11"/>
  <c r="N54" i="11" s="1"/>
  <c r="M53" i="11"/>
  <c r="N53" i="11" s="1"/>
  <c r="M52" i="11"/>
  <c r="O52" i="11" s="1"/>
  <c r="M51" i="11"/>
  <c r="N51" i="11" s="1"/>
  <c r="M50" i="11"/>
  <c r="N50" i="11" s="1"/>
  <c r="M54" i="10"/>
  <c r="N54" i="10" s="1"/>
  <c r="M53" i="10"/>
  <c r="N53" i="10" s="1"/>
  <c r="M52" i="10"/>
  <c r="N52" i="10" s="1"/>
  <c r="M51" i="10"/>
  <c r="N51" i="10" s="1"/>
  <c r="M50" i="10"/>
  <c r="O50" i="10" s="1"/>
  <c r="M54" i="5"/>
  <c r="N54" i="5" s="1"/>
  <c r="M53" i="5"/>
  <c r="N53" i="5" s="1"/>
  <c r="M52" i="5"/>
  <c r="N52" i="5" s="1"/>
  <c r="M51" i="5"/>
  <c r="N51" i="5" s="1"/>
  <c r="M50" i="5"/>
  <c r="N50" i="5" s="1"/>
  <c r="M54" i="7"/>
  <c r="N54" i="7" s="1"/>
  <c r="M53" i="7"/>
  <c r="N53" i="7" s="1"/>
  <c r="M52" i="7"/>
  <c r="N52" i="7" s="1"/>
  <c r="M51" i="7"/>
  <c r="N51" i="7" s="1"/>
  <c r="M50" i="7"/>
  <c r="N50" i="7" s="1"/>
  <c r="S5" i="28"/>
  <c r="Q5" i="28"/>
  <c r="P5" i="28"/>
  <c r="R5" i="28" s="1"/>
  <c r="I5" i="28" s="1"/>
  <c r="M5" i="28"/>
  <c r="O5" i="28" s="1"/>
  <c r="J5" i="28"/>
  <c r="L5" i="28" s="1"/>
  <c r="H5" i="28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H67" i="28" s="1"/>
  <c r="H68" i="28" s="1"/>
  <c r="H69" i="28" s="1"/>
  <c r="H70" i="28" s="1"/>
  <c r="H71" i="28" s="1"/>
  <c r="H72" i="28" s="1"/>
  <c r="H73" i="28" s="1"/>
  <c r="H67" i="2"/>
  <c r="I67" i="2"/>
  <c r="J67" i="2"/>
  <c r="K67" i="2"/>
  <c r="L67" i="2"/>
  <c r="M67" i="2"/>
  <c r="P67" i="2"/>
  <c r="Q67" i="2"/>
  <c r="R67" i="2"/>
  <c r="S67" i="2"/>
  <c r="H66" i="2"/>
  <c r="I66" i="2"/>
  <c r="J66" i="2"/>
  <c r="K66" i="2"/>
  <c r="L66" i="2"/>
  <c r="M66" i="2"/>
  <c r="P66" i="2"/>
  <c r="Q66" i="2"/>
  <c r="R66" i="2"/>
  <c r="S66" i="2"/>
  <c r="H65" i="2"/>
  <c r="I65" i="2"/>
  <c r="J65" i="2"/>
  <c r="K65" i="2"/>
  <c r="L65" i="2"/>
  <c r="M65" i="2"/>
  <c r="P65" i="2"/>
  <c r="Q65" i="2"/>
  <c r="R65" i="2"/>
  <c r="S65" i="2"/>
  <c r="H64" i="2"/>
  <c r="I64" i="2"/>
  <c r="J64" i="2"/>
  <c r="K64" i="2"/>
  <c r="L64" i="2"/>
  <c r="M64" i="2"/>
  <c r="P64" i="2"/>
  <c r="Q64" i="2"/>
  <c r="R64" i="2"/>
  <c r="S64" i="2"/>
  <c r="O54" i="11" l="1"/>
  <c r="N54" i="13"/>
  <c r="N53" i="13"/>
  <c r="O52" i="13"/>
  <c r="O51" i="13"/>
  <c r="O50" i="13"/>
  <c r="N53" i="12"/>
  <c r="N51" i="12"/>
  <c r="O54" i="12"/>
  <c r="O52" i="12"/>
  <c r="O50" i="12"/>
  <c r="N52" i="11"/>
  <c r="O53" i="11"/>
  <c r="O51" i="11"/>
  <c r="O50" i="11"/>
  <c r="O53" i="10"/>
  <c r="O54" i="10"/>
  <c r="O52" i="10"/>
  <c r="N50" i="10"/>
  <c r="O51" i="10"/>
  <c r="O54" i="5"/>
  <c r="O53" i="5"/>
  <c r="O52" i="5"/>
  <c r="O51" i="5"/>
  <c r="O50" i="5"/>
  <c r="O53" i="7"/>
  <c r="O52" i="7"/>
  <c r="O54" i="7"/>
  <c r="O51" i="7"/>
  <c r="O50" i="7"/>
  <c r="K5" i="28"/>
  <c r="N5" i="28"/>
  <c r="O67" i="2"/>
  <c r="N67" i="2"/>
  <c r="O65" i="2"/>
  <c r="O66" i="2"/>
  <c r="N66" i="2"/>
  <c r="N65" i="2"/>
  <c r="N64" i="2"/>
  <c r="O64" i="2"/>
  <c r="AH23" i="16"/>
  <c r="AK23" i="16" s="1"/>
  <c r="C16" i="16"/>
  <c r="B27" i="4"/>
  <c r="C27" i="4"/>
  <c r="D27" i="4"/>
  <c r="E27" i="4"/>
  <c r="F27" i="4"/>
  <c r="G27" i="4"/>
  <c r="H27" i="4"/>
  <c r="I27" i="4"/>
  <c r="J27" i="4"/>
  <c r="L27" i="4"/>
  <c r="M49" i="20"/>
  <c r="N49" i="20" s="1"/>
  <c r="M49" i="19"/>
  <c r="N49" i="19" s="1"/>
  <c r="M49" i="18"/>
  <c r="N49" i="18" s="1"/>
  <c r="M49" i="17"/>
  <c r="O49" i="17" s="1"/>
  <c r="M49" i="13"/>
  <c r="O49" i="13" s="1"/>
  <c r="M49" i="12"/>
  <c r="N49" i="12" s="1"/>
  <c r="M49" i="11"/>
  <c r="N49" i="11" s="1"/>
  <c r="M49" i="10"/>
  <c r="N49" i="10" s="1"/>
  <c r="M49" i="5"/>
  <c r="N49" i="5" s="1"/>
  <c r="M49" i="7"/>
  <c r="N49" i="7" s="1"/>
  <c r="S5" i="26"/>
  <c r="Q5" i="26"/>
  <c r="P5" i="26"/>
  <c r="R5" i="26" s="1"/>
  <c r="I5" i="26" s="1"/>
  <c r="M5" i="26"/>
  <c r="N5" i="26" s="1"/>
  <c r="J5" i="26"/>
  <c r="K5" i="26" s="1"/>
  <c r="H5" i="26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Q66" i="20"/>
  <c r="Q67" i="17"/>
  <c r="P64" i="5"/>
  <c r="S53" i="29"/>
  <c r="S24" i="29"/>
  <c r="P54" i="31"/>
  <c r="P53" i="26"/>
  <c r="S23" i="26"/>
  <c r="J23" i="29"/>
  <c r="P58" i="29"/>
  <c r="P29" i="29"/>
  <c r="J24" i="26"/>
  <c r="P44" i="26"/>
  <c r="P40" i="31"/>
  <c r="J21" i="28"/>
  <c r="J36" i="28"/>
  <c r="P21" i="31"/>
  <c r="S22" i="29"/>
  <c r="P55" i="25"/>
  <c r="Q53" i="26"/>
  <c r="Q58" i="29"/>
  <c r="P27" i="26"/>
  <c r="Q49" i="31"/>
  <c r="Q55" i="26"/>
  <c r="P43" i="26"/>
  <c r="J40" i="29"/>
  <c r="Q19" i="29"/>
  <c r="P57" i="26"/>
  <c r="P33" i="25"/>
  <c r="J38" i="26"/>
  <c r="Q25" i="29"/>
  <c r="S39" i="28"/>
  <c r="Q66" i="19"/>
  <c r="Q67" i="13"/>
  <c r="J22" i="25"/>
  <c r="P28" i="25"/>
  <c r="Q27" i="31"/>
  <c r="D18" i="16"/>
  <c r="J29" i="25"/>
  <c r="S45" i="28"/>
  <c r="P25" i="26"/>
  <c r="J46" i="29"/>
  <c r="P25" i="31"/>
  <c r="P19" i="25"/>
  <c r="S29" i="28"/>
  <c r="P48" i="25"/>
  <c r="J49" i="25"/>
  <c r="P37" i="31"/>
  <c r="Q58" i="26"/>
  <c r="P50" i="28"/>
  <c r="J45" i="28"/>
  <c r="Q60" i="25"/>
  <c r="P35" i="31"/>
  <c r="S26" i="28"/>
  <c r="Q50" i="26"/>
  <c r="S46" i="25"/>
  <c r="S41" i="28"/>
  <c r="J35" i="26"/>
  <c r="S31" i="25"/>
  <c r="S26" i="25"/>
  <c r="P57" i="29"/>
  <c r="J37" i="29"/>
  <c r="J47" i="26"/>
  <c r="J53" i="28"/>
  <c r="Q20" i="28"/>
  <c r="Q65" i="18"/>
  <c r="P66" i="5"/>
  <c r="J34" i="26"/>
  <c r="J47" i="25"/>
  <c r="S22" i="26"/>
  <c r="S21" i="25"/>
  <c r="S47" i="25"/>
  <c r="P63" i="18"/>
  <c r="J41" i="28"/>
  <c r="S33" i="28"/>
  <c r="S49" i="25"/>
  <c r="S28" i="29"/>
  <c r="J37" i="25"/>
  <c r="P46" i="29"/>
  <c r="J35" i="28"/>
  <c r="Q22" i="31"/>
  <c r="Q45" i="31"/>
  <c r="Q52" i="31"/>
  <c r="Q24" i="29"/>
  <c r="Q57" i="29"/>
  <c r="Q25" i="26"/>
  <c r="S30" i="26"/>
  <c r="Q20" i="29"/>
  <c r="Q65" i="19"/>
  <c r="P66" i="11"/>
  <c r="J54" i="29"/>
  <c r="S40" i="25"/>
  <c r="P44" i="31"/>
  <c r="S25" i="25"/>
  <c r="S53" i="25"/>
  <c r="S29" i="26"/>
  <c r="Q32" i="31"/>
  <c r="Q45" i="29"/>
  <c r="P51" i="31"/>
  <c r="P32" i="29"/>
  <c r="Q30" i="31"/>
  <c r="S49" i="29"/>
  <c r="Q55" i="29"/>
  <c r="S54" i="26"/>
  <c r="S41" i="25"/>
  <c r="J33" i="29"/>
  <c r="P53" i="31"/>
  <c r="J52" i="25"/>
  <c r="P36" i="26"/>
  <c r="S28" i="26"/>
  <c r="P44" i="29"/>
  <c r="J49" i="29"/>
  <c r="S45" i="25"/>
  <c r="P48" i="26"/>
  <c r="P39" i="25"/>
  <c r="J27" i="25"/>
  <c r="S33" i="25"/>
  <c r="Q26" i="31"/>
  <c r="S43" i="28"/>
  <c r="J36" i="26"/>
  <c r="P39" i="31"/>
  <c r="J46" i="25"/>
  <c r="P33" i="26"/>
  <c r="J44" i="28"/>
  <c r="J22" i="26"/>
  <c r="J53" i="7"/>
  <c r="J53" i="12"/>
  <c r="J50" i="10"/>
  <c r="Q63" i="19"/>
  <c r="J54" i="28"/>
  <c r="P26" i="29"/>
  <c r="J26" i="29"/>
  <c r="S33" i="26"/>
  <c r="S32" i="25"/>
  <c r="S22" i="25"/>
  <c r="P50" i="29"/>
  <c r="Q33" i="25"/>
  <c r="Q19" i="28"/>
  <c r="J51" i="18"/>
  <c r="Q28" i="28"/>
  <c r="J50" i="19"/>
  <c r="J50" i="20"/>
  <c r="Q37" i="28"/>
  <c r="Q21" i="25"/>
  <c r="Q43" i="25"/>
  <c r="Q52" i="28"/>
  <c r="P20" i="26"/>
  <c r="Q40" i="25"/>
  <c r="Q31" i="28"/>
  <c r="Q20" i="25"/>
  <c r="J53" i="18"/>
  <c r="Q21" i="28"/>
  <c r="P63" i="17"/>
  <c r="J50" i="7"/>
  <c r="P34" i="29"/>
  <c r="S46" i="26"/>
  <c r="S41" i="29"/>
  <c r="J30" i="28"/>
  <c r="S19" i="25"/>
  <c r="P54" i="25"/>
  <c r="Q22" i="26"/>
  <c r="P48" i="28"/>
  <c r="S50" i="20"/>
  <c r="Q36" i="25"/>
  <c r="Q57" i="25"/>
  <c r="P19" i="29"/>
  <c r="J54" i="20"/>
  <c r="J50" i="17"/>
  <c r="P49" i="28"/>
  <c r="Q58" i="25"/>
  <c r="P53" i="28"/>
  <c r="Q51" i="25"/>
  <c r="P20" i="29"/>
  <c r="P34" i="28"/>
  <c r="S52" i="18"/>
  <c r="Q24" i="25"/>
  <c r="P22" i="26"/>
  <c r="S54" i="5"/>
  <c r="J54" i="7"/>
  <c r="J54" i="5"/>
  <c r="S50" i="13"/>
  <c r="J50" i="5"/>
  <c r="J50" i="11"/>
  <c r="S23" i="28"/>
  <c r="J43" i="29"/>
  <c r="P59" i="25"/>
  <c r="S23" i="29"/>
  <c r="P58" i="25"/>
  <c r="J38" i="28"/>
  <c r="P53" i="25"/>
  <c r="Q48" i="28"/>
  <c r="P32" i="28"/>
  <c r="Q41" i="28"/>
  <c r="J51" i="19"/>
  <c r="J54" i="18"/>
  <c r="P43" i="28"/>
  <c r="P52" i="28"/>
  <c r="Q44" i="25"/>
  <c r="Q46" i="25"/>
  <c r="J53" i="19"/>
  <c r="Q47" i="29"/>
  <c r="P38" i="28"/>
  <c r="Q23" i="28"/>
  <c r="Q58" i="28"/>
  <c r="P36" i="28"/>
  <c r="Q39" i="28"/>
  <c r="J50" i="12"/>
  <c r="S53" i="7"/>
  <c r="S54" i="12"/>
  <c r="S52" i="7"/>
  <c r="J53" i="11"/>
  <c r="Q63" i="17"/>
  <c r="Q64" i="10"/>
  <c r="Q63" i="13"/>
  <c r="P62" i="5"/>
  <c r="P65" i="13"/>
  <c r="P65" i="11"/>
  <c r="J49" i="10"/>
  <c r="S49" i="5"/>
  <c r="S49" i="12"/>
  <c r="Q65" i="13"/>
  <c r="S49" i="7"/>
  <c r="P65" i="12"/>
  <c r="Q66" i="5"/>
  <c r="J49" i="20"/>
  <c r="S49" i="18"/>
  <c r="P67" i="13"/>
  <c r="P63" i="10"/>
  <c r="Q67" i="12"/>
  <c r="P62" i="10"/>
  <c r="Q64" i="20"/>
  <c r="Q66" i="13"/>
  <c r="P64" i="7"/>
  <c r="J27" i="29"/>
  <c r="Q61" i="25"/>
  <c r="S37" i="25"/>
  <c r="S52" i="25"/>
  <c r="Q40" i="31"/>
  <c r="S35" i="26"/>
  <c r="S25" i="28"/>
  <c r="S18" i="29"/>
  <c r="P51" i="29"/>
  <c r="J30" i="25"/>
  <c r="Q51" i="29"/>
  <c r="J50" i="26"/>
  <c r="S24" i="26"/>
  <c r="Q47" i="26"/>
  <c r="Q28" i="29"/>
  <c r="S52" i="26"/>
  <c r="P42" i="29"/>
  <c r="P49" i="31"/>
  <c r="S28" i="25"/>
  <c r="Q45" i="26"/>
  <c r="P27" i="31"/>
  <c r="S31" i="29"/>
  <c r="S19" i="29"/>
  <c r="P42" i="25"/>
  <c r="S38" i="25"/>
  <c r="P24" i="26"/>
  <c r="J21" i="29"/>
  <c r="S41" i="26"/>
  <c r="S34" i="25"/>
  <c r="P66" i="19"/>
  <c r="P67" i="10"/>
  <c r="J20" i="29"/>
  <c r="J27" i="28"/>
  <c r="J19" i="26"/>
  <c r="P33" i="31"/>
  <c r="Q29" i="29"/>
  <c r="S46" i="28"/>
  <c r="J41" i="26"/>
  <c r="P58" i="28"/>
  <c r="Q24" i="26"/>
  <c r="Q63" i="25"/>
  <c r="S25" i="26"/>
  <c r="S29" i="29"/>
  <c r="S54" i="28"/>
  <c r="J24" i="28"/>
  <c r="J48" i="28"/>
  <c r="S32" i="28"/>
  <c r="S38" i="26"/>
  <c r="S54" i="25"/>
  <c r="Q47" i="31"/>
  <c r="Q29" i="31"/>
  <c r="J50" i="25"/>
  <c r="S29" i="25"/>
  <c r="J23" i="26"/>
  <c r="Q51" i="26"/>
  <c r="S27" i="28"/>
  <c r="P19" i="28"/>
  <c r="S47" i="26"/>
  <c r="S27" i="29"/>
  <c r="P24" i="29"/>
  <c r="S48" i="25"/>
  <c r="Q67" i="20"/>
  <c r="Q66" i="17"/>
  <c r="P67" i="7"/>
  <c r="S52" i="28"/>
  <c r="P31" i="25"/>
  <c r="J44" i="26"/>
  <c r="Q57" i="26"/>
  <c r="Q54" i="26"/>
  <c r="S50" i="26"/>
  <c r="Q33" i="31"/>
  <c r="S19" i="26"/>
  <c r="J25" i="28"/>
  <c r="S37" i="26"/>
  <c r="Q43" i="26"/>
  <c r="J42" i="29"/>
  <c r="Q52" i="26"/>
  <c r="J53" i="26"/>
  <c r="J31" i="28"/>
  <c r="J22" i="28"/>
  <c r="P23" i="28"/>
  <c r="S34" i="29"/>
  <c r="Q21" i="29"/>
  <c r="S49" i="28"/>
  <c r="Q28" i="31"/>
  <c r="P64" i="19"/>
  <c r="P65" i="10"/>
  <c r="P31" i="26"/>
  <c r="J54" i="26"/>
  <c r="Q42" i="26"/>
  <c r="S51" i="28"/>
  <c r="S26" i="29"/>
  <c r="S51" i="25"/>
  <c r="S50" i="29"/>
  <c r="J41" i="25"/>
  <c r="Q56" i="26"/>
  <c r="S31" i="26"/>
  <c r="P27" i="28"/>
  <c r="S23" i="25"/>
  <c r="S44" i="28"/>
  <c r="Q25" i="31"/>
  <c r="J32" i="29"/>
  <c r="S18" i="26"/>
  <c r="J42" i="25"/>
  <c r="Q39" i="31"/>
  <c r="P48" i="31"/>
  <c r="P21" i="26"/>
  <c r="Q42" i="25"/>
  <c r="P30" i="28"/>
  <c r="P54" i="28"/>
  <c r="S52" i="17"/>
  <c r="Q36" i="28"/>
  <c r="P51" i="28"/>
  <c r="J53" i="17"/>
  <c r="P19" i="26"/>
  <c r="J53" i="20"/>
  <c r="S51" i="17"/>
  <c r="Q55" i="25"/>
  <c r="Q45" i="28"/>
  <c r="J52" i="20"/>
  <c r="Q59" i="25"/>
  <c r="Q44" i="28"/>
  <c r="S50" i="5"/>
  <c r="J54" i="13"/>
  <c r="Q63" i="18"/>
  <c r="S53" i="12"/>
  <c r="S30" i="28"/>
  <c r="P19" i="31"/>
  <c r="J29" i="29"/>
  <c r="Q27" i="29"/>
  <c r="P41" i="31"/>
  <c r="J42" i="26"/>
  <c r="Q46" i="29"/>
  <c r="S53" i="17"/>
  <c r="Q29" i="25"/>
  <c r="J52" i="17"/>
  <c r="S50" i="19"/>
  <c r="Q54" i="28"/>
  <c r="P23" i="26"/>
  <c r="Q49" i="25"/>
  <c r="Q30" i="28"/>
  <c r="P21" i="29"/>
  <c r="Q20" i="26"/>
  <c r="Q43" i="28"/>
  <c r="J51" i="20"/>
  <c r="Q47" i="25"/>
  <c r="Q34" i="28"/>
  <c r="J54" i="19"/>
  <c r="P22" i="29"/>
  <c r="S50" i="7"/>
  <c r="J52" i="10"/>
  <c r="J25" i="29"/>
  <c r="Q44" i="26"/>
  <c r="J53" i="25"/>
  <c r="Q62" i="25"/>
  <c r="J37" i="28"/>
  <c r="J28" i="29"/>
  <c r="Q55" i="28"/>
  <c r="S53" i="19"/>
  <c r="Q53" i="28"/>
  <c r="Q28" i="25"/>
  <c r="Q22" i="28"/>
  <c r="Q34" i="25"/>
  <c r="S53" i="20"/>
  <c r="S52" i="19"/>
  <c r="P39" i="28"/>
  <c r="Q22" i="25"/>
  <c r="Q56" i="28"/>
  <c r="Q26" i="28"/>
  <c r="Q51" i="28"/>
  <c r="Q32" i="25"/>
  <c r="P42" i="28"/>
  <c r="Q50" i="28"/>
  <c r="Q27" i="25"/>
  <c r="J52" i="13"/>
  <c r="J51" i="7"/>
  <c r="J53" i="5"/>
  <c r="S50" i="12"/>
  <c r="S52" i="11"/>
  <c r="J52" i="5"/>
  <c r="Q48" i="29"/>
  <c r="Q54" i="31"/>
  <c r="J48" i="25"/>
  <c r="P31" i="29"/>
  <c r="Q23" i="26"/>
  <c r="S33" i="29"/>
  <c r="P51" i="25"/>
  <c r="Q35" i="28"/>
  <c r="Q38" i="25"/>
  <c r="Q39" i="25"/>
  <c r="Q38" i="28"/>
  <c r="Q52" i="25"/>
  <c r="Q54" i="25"/>
  <c r="S54" i="17"/>
  <c r="Q26" i="25"/>
  <c r="Q41" i="25"/>
  <c r="J51" i="17"/>
  <c r="P44" i="28"/>
  <c r="S54" i="20"/>
  <c r="S51" i="19"/>
  <c r="J52" i="19"/>
  <c r="S50" i="18"/>
  <c r="Q45" i="25"/>
  <c r="S51" i="5"/>
  <c r="Q63" i="20"/>
  <c r="J51" i="12"/>
  <c r="S50" i="11"/>
  <c r="S54" i="11"/>
  <c r="S52" i="13"/>
  <c r="Q64" i="7"/>
  <c r="Q62" i="13"/>
  <c r="J49" i="17"/>
  <c r="P64" i="13"/>
  <c r="Q67" i="10"/>
  <c r="J49" i="12"/>
  <c r="J49" i="13"/>
  <c r="P62" i="11"/>
  <c r="Q66" i="11"/>
  <c r="D16" i="16"/>
  <c r="Q67" i="11"/>
  <c r="Q65" i="7"/>
  <c r="S49" i="19"/>
  <c r="Q63" i="12"/>
  <c r="P66" i="12"/>
  <c r="P63" i="11"/>
  <c r="Q65" i="10"/>
  <c r="P63" i="12"/>
  <c r="Q63" i="5"/>
  <c r="Q64" i="11"/>
  <c r="S49" i="13"/>
  <c r="S49" i="11"/>
  <c r="J49" i="18"/>
  <c r="Q64" i="5"/>
  <c r="P65" i="19"/>
  <c r="P67" i="11"/>
  <c r="P52" i="31"/>
  <c r="S42" i="29"/>
  <c r="Q51" i="31"/>
  <c r="S21" i="29"/>
  <c r="Q19" i="25"/>
  <c r="J23" i="25"/>
  <c r="J32" i="28"/>
  <c r="J44" i="29"/>
  <c r="J46" i="26"/>
  <c r="Q33" i="26"/>
  <c r="J22" i="29"/>
  <c r="P29" i="31"/>
  <c r="Q23" i="29"/>
  <c r="J30" i="26"/>
  <c r="S39" i="25"/>
  <c r="S27" i="26"/>
  <c r="P32" i="31"/>
  <c r="J43" i="26"/>
  <c r="P59" i="28"/>
  <c r="J19" i="29"/>
  <c r="S20" i="25"/>
  <c r="P56" i="25"/>
  <c r="S42" i="26"/>
  <c r="P46" i="26"/>
  <c r="Q59" i="26"/>
  <c r="P26" i="28"/>
  <c r="S27" i="25"/>
  <c r="S18" i="25"/>
  <c r="P37" i="29"/>
  <c r="S38" i="28"/>
  <c r="Q67" i="18"/>
  <c r="P67" i="5"/>
  <c r="J45" i="25"/>
  <c r="J40" i="28"/>
  <c r="J48" i="29"/>
  <c r="Q50" i="29"/>
  <c r="J43" i="28"/>
  <c r="P40" i="29"/>
  <c r="Q20" i="31"/>
  <c r="J27" i="26"/>
  <c r="Q41" i="31"/>
  <c r="J25" i="26"/>
  <c r="S32" i="26"/>
  <c r="P20" i="28"/>
  <c r="J40" i="26"/>
  <c r="Q59" i="28"/>
  <c r="P38" i="25"/>
  <c r="Q41" i="26"/>
  <c r="S44" i="29"/>
  <c r="P28" i="26"/>
  <c r="J19" i="28"/>
  <c r="S20" i="28"/>
  <c r="S50" i="25"/>
  <c r="S31" i="28"/>
  <c r="J33" i="26"/>
  <c r="S32" i="29"/>
  <c r="J46" i="28"/>
  <c r="J28" i="26"/>
  <c r="P55" i="29"/>
  <c r="Q30" i="29"/>
  <c r="J29" i="28"/>
  <c r="J18" i="25"/>
  <c r="Q67" i="19"/>
  <c r="P67" i="12"/>
  <c r="S35" i="25"/>
  <c r="P56" i="29"/>
  <c r="P38" i="31"/>
  <c r="P43" i="25"/>
  <c r="S37" i="28"/>
  <c r="J30" i="29"/>
  <c r="Q49" i="29"/>
  <c r="S47" i="28"/>
  <c r="S48" i="29"/>
  <c r="J52" i="26"/>
  <c r="S22" i="28"/>
  <c r="S48" i="26"/>
  <c r="S24" i="28"/>
  <c r="J18" i="26"/>
  <c r="S36" i="28"/>
  <c r="P57" i="25"/>
  <c r="Q49" i="26"/>
  <c r="P59" i="29"/>
  <c r="S45" i="29"/>
  <c r="P46" i="31"/>
  <c r="P20" i="31"/>
  <c r="Q65" i="20"/>
  <c r="Q64" i="18"/>
  <c r="P65" i="5"/>
  <c r="Q43" i="31"/>
  <c r="P26" i="26"/>
  <c r="P30" i="31"/>
  <c r="Q26" i="26"/>
  <c r="J25" i="25"/>
  <c r="P50" i="31"/>
  <c r="Q34" i="26"/>
  <c r="P46" i="25"/>
  <c r="S28" i="28"/>
  <c r="J52" i="29"/>
  <c r="J38" i="25"/>
  <c r="J51" i="26"/>
  <c r="P39" i="29"/>
  <c r="J28" i="25"/>
  <c r="J48" i="26"/>
  <c r="Q22" i="29"/>
  <c r="Q28" i="26"/>
  <c r="Q24" i="31"/>
  <c r="Q35" i="29"/>
  <c r="P40" i="28"/>
  <c r="S51" i="20"/>
  <c r="Q21" i="26"/>
  <c r="P37" i="28"/>
  <c r="Q33" i="28"/>
  <c r="Q48" i="25"/>
  <c r="P41" i="28"/>
  <c r="P45" i="28"/>
  <c r="J54" i="17"/>
  <c r="Q40" i="28"/>
  <c r="Q47" i="28"/>
  <c r="Q37" i="25"/>
  <c r="Q35" i="25"/>
  <c r="P47" i="28"/>
  <c r="S51" i="18"/>
  <c r="Q57" i="28"/>
  <c r="J54" i="11"/>
  <c r="S50" i="10"/>
  <c r="J54" i="10"/>
  <c r="Q31" i="26"/>
  <c r="Q41" i="29"/>
  <c r="S36" i="29"/>
  <c r="P37" i="25"/>
  <c r="Q46" i="26"/>
  <c r="J24" i="29"/>
  <c r="S46" i="29"/>
  <c r="P49" i="26"/>
  <c r="P34" i="26"/>
  <c r="P38" i="26"/>
  <c r="P41" i="29"/>
  <c r="J23" i="28"/>
  <c r="J28" i="28"/>
  <c r="Q37" i="26"/>
  <c r="Q36" i="29"/>
  <c r="Q30" i="25"/>
  <c r="P50" i="26"/>
  <c r="S36" i="26"/>
  <c r="P29" i="26"/>
  <c r="S53" i="18"/>
  <c r="P32" i="25"/>
  <c r="J32" i="25"/>
  <c r="P23" i="25"/>
  <c r="Q50" i="25"/>
  <c r="J52" i="11"/>
  <c r="J18" i="28"/>
  <c r="Q46" i="31"/>
  <c r="J39" i="29"/>
  <c r="Q32" i="29"/>
  <c r="P37" i="26"/>
  <c r="Q56" i="29"/>
  <c r="S34" i="26"/>
  <c r="J42" i="28"/>
  <c r="Q43" i="29"/>
  <c r="Q44" i="29"/>
  <c r="Q27" i="26"/>
  <c r="P47" i="26"/>
  <c r="J44" i="25"/>
  <c r="J26" i="28"/>
  <c r="P25" i="28"/>
  <c r="Q40" i="29"/>
  <c r="Q31" i="29"/>
  <c r="P38" i="29"/>
  <c r="P27" i="25"/>
  <c r="P36" i="29"/>
  <c r="P28" i="28"/>
  <c r="P45" i="26"/>
  <c r="S53" i="26"/>
  <c r="J50" i="13"/>
  <c r="S51" i="11"/>
  <c r="P63" i="20"/>
  <c r="J52" i="7"/>
  <c r="S54" i="10"/>
  <c r="S52" i="10"/>
  <c r="S53" i="10"/>
  <c r="S19" i="28"/>
  <c r="J32" i="26"/>
  <c r="S44" i="25"/>
  <c r="S18" i="28"/>
  <c r="J36" i="29"/>
  <c r="J26" i="26"/>
  <c r="Q24" i="28"/>
  <c r="P22" i="28"/>
  <c r="S54" i="18"/>
  <c r="S52" i="20"/>
  <c r="J50" i="18"/>
  <c r="J39" i="28"/>
  <c r="Q49" i="28"/>
  <c r="P54" i="29"/>
  <c r="Q23" i="25"/>
  <c r="P25" i="25"/>
  <c r="J52" i="18"/>
  <c r="P29" i="28"/>
  <c r="Q25" i="28"/>
  <c r="P21" i="25"/>
  <c r="Q19" i="26"/>
  <c r="Q42" i="28"/>
  <c r="Q31" i="25"/>
  <c r="S54" i="7"/>
  <c r="S51" i="7"/>
  <c r="S52" i="5"/>
  <c r="S51" i="10"/>
  <c r="P63" i="7"/>
  <c r="Q66" i="12"/>
  <c r="P62" i="19"/>
  <c r="Q64" i="12"/>
  <c r="J49" i="7"/>
  <c r="Q65" i="12"/>
  <c r="Q65" i="5"/>
  <c r="P63" i="13"/>
  <c r="J49" i="19"/>
  <c r="Q63" i="7"/>
  <c r="Q66" i="7"/>
  <c r="P66" i="13"/>
  <c r="P64" i="11"/>
  <c r="S49" i="20"/>
  <c r="S49" i="10"/>
  <c r="P62" i="18"/>
  <c r="Q63" i="10"/>
  <c r="P62" i="20"/>
  <c r="Q66" i="10"/>
  <c r="S49" i="17"/>
  <c r="Q63" i="11"/>
  <c r="Q66" i="18"/>
  <c r="P64" i="10"/>
  <c r="Q59" i="29"/>
  <c r="J35" i="29"/>
  <c r="Q38" i="29"/>
  <c r="S40" i="28"/>
  <c r="P56" i="26"/>
  <c r="P34" i="25"/>
  <c r="S43" i="26"/>
  <c r="S36" i="25"/>
  <c r="S40" i="26"/>
  <c r="P36" i="31"/>
  <c r="P42" i="31"/>
  <c r="S43" i="25"/>
  <c r="P43" i="31"/>
  <c r="J35" i="25"/>
  <c r="Q23" i="31"/>
  <c r="Q32" i="26"/>
  <c r="J33" i="25"/>
  <c r="J26" i="25"/>
  <c r="S54" i="29"/>
  <c r="J21" i="26"/>
  <c r="P44" i="25"/>
  <c r="S34" i="28"/>
  <c r="S47" i="29"/>
  <c r="P34" i="31"/>
  <c r="Q31" i="31"/>
  <c r="J19" i="25"/>
  <c r="P45" i="25"/>
  <c r="J31" i="29"/>
  <c r="S20" i="29"/>
  <c r="P65" i="20"/>
  <c r="Q65" i="17"/>
  <c r="P65" i="7"/>
  <c r="S51" i="29"/>
  <c r="S21" i="26"/>
  <c r="J29" i="26"/>
  <c r="P53" i="29"/>
  <c r="J20" i="25"/>
  <c r="J43" i="25"/>
  <c r="S39" i="29"/>
  <c r="P59" i="26"/>
  <c r="P39" i="26"/>
  <c r="Q29" i="26"/>
  <c r="J36" i="25"/>
  <c r="S26" i="26"/>
  <c r="P41" i="25"/>
  <c r="S30" i="25"/>
  <c r="S24" i="25"/>
  <c r="J34" i="28"/>
  <c r="Q35" i="26"/>
  <c r="J51" i="28"/>
  <c r="P48" i="29"/>
  <c r="J34" i="29"/>
  <c r="P45" i="31"/>
  <c r="P35" i="26"/>
  <c r="P23" i="31"/>
  <c r="J50" i="28"/>
  <c r="J39" i="25"/>
  <c r="S51" i="26"/>
  <c r="P31" i="31"/>
  <c r="P30" i="29"/>
  <c r="Q38" i="31"/>
  <c r="S42" i="25"/>
  <c r="Q64" i="19"/>
  <c r="P66" i="10"/>
  <c r="S30" i="29"/>
  <c r="S35" i="29"/>
  <c r="S38" i="29"/>
  <c r="J49" i="28"/>
  <c r="P55" i="26"/>
  <c r="P35" i="25"/>
  <c r="P47" i="31"/>
  <c r="J18" i="29"/>
  <c r="P42" i="26"/>
  <c r="J31" i="25"/>
  <c r="P25" i="29"/>
  <c r="S25" i="29"/>
  <c r="Q21" i="31"/>
  <c r="P49" i="25"/>
  <c r="J54" i="25"/>
  <c r="J39" i="26"/>
  <c r="S21" i="28"/>
  <c r="Q44" i="31"/>
  <c r="J34" i="25"/>
  <c r="P54" i="26"/>
  <c r="S20" i="26"/>
  <c r="P64" i="20"/>
  <c r="Q64" i="17"/>
  <c r="P66" i="7"/>
  <c r="S45" i="26"/>
  <c r="P35" i="29"/>
  <c r="J21" i="25"/>
  <c r="J50" i="29"/>
  <c r="Q36" i="26"/>
  <c r="J33" i="28"/>
  <c r="Q42" i="31"/>
  <c r="P56" i="28"/>
  <c r="P40" i="25"/>
  <c r="J47" i="28"/>
  <c r="S42" i="28"/>
  <c r="P28" i="31"/>
  <c r="S39" i="26"/>
  <c r="J37" i="26"/>
  <c r="S48" i="28"/>
  <c r="S35" i="28"/>
  <c r="S44" i="26"/>
  <c r="S37" i="29"/>
  <c r="Q25" i="25"/>
  <c r="Q48" i="26"/>
  <c r="Q42" i="29"/>
  <c r="J51" i="25"/>
  <c r="Q29" i="28"/>
  <c r="P27" i="29"/>
  <c r="J52" i="28"/>
  <c r="P26" i="31"/>
  <c r="Q53" i="25"/>
  <c r="S52" i="29"/>
  <c r="P47" i="29"/>
  <c r="P30" i="25"/>
  <c r="Q27" i="28"/>
  <c r="S50" i="28"/>
  <c r="J51" i="29"/>
  <c r="P50" i="25"/>
  <c r="Q32" i="28"/>
  <c r="S54" i="13"/>
  <c r="S51" i="12"/>
  <c r="J51" i="11"/>
  <c r="P22" i="31"/>
  <c r="J20" i="26"/>
  <c r="P49" i="29"/>
  <c r="Q53" i="31"/>
  <c r="J45" i="29"/>
  <c r="Q52" i="29"/>
  <c r="J38" i="29"/>
  <c r="P21" i="28"/>
  <c r="Q39" i="29"/>
  <c r="Q30" i="26"/>
  <c r="Q34" i="29"/>
  <c r="P33" i="28"/>
  <c r="D17" i="16"/>
  <c r="Q40" i="26"/>
  <c r="P24" i="28"/>
  <c r="Q37" i="29"/>
  <c r="P22" i="25"/>
  <c r="J49" i="26"/>
  <c r="P26" i="25"/>
  <c r="Q38" i="26"/>
  <c r="Q54" i="29"/>
  <c r="P45" i="29"/>
  <c r="P52" i="26"/>
  <c r="S53" i="11"/>
  <c r="J51" i="5"/>
  <c r="P57" i="28"/>
  <c r="J47" i="29"/>
  <c r="P51" i="26"/>
  <c r="S53" i="28"/>
  <c r="J24" i="25"/>
  <c r="P55" i="28"/>
  <c r="J20" i="28"/>
  <c r="Q46" i="28"/>
  <c r="P35" i="28"/>
  <c r="P32" i="26"/>
  <c r="P28" i="29"/>
  <c r="S50" i="17"/>
  <c r="P46" i="28"/>
  <c r="Q53" i="29"/>
  <c r="P24" i="25"/>
  <c r="S54" i="19"/>
  <c r="P41" i="26"/>
  <c r="P43" i="29"/>
  <c r="P40" i="26"/>
  <c r="P31" i="28"/>
  <c r="Q56" i="25"/>
  <c r="P52" i="25"/>
  <c r="Q26" i="29"/>
  <c r="S53" i="13"/>
  <c r="J54" i="12"/>
  <c r="P63" i="5"/>
  <c r="J51" i="10"/>
  <c r="J51" i="13"/>
  <c r="S53" i="5"/>
  <c r="P20" i="25"/>
  <c r="S43" i="29"/>
  <c r="Q19" i="31"/>
  <c r="J31" i="26"/>
  <c r="P58" i="26"/>
  <c r="J53" i="29"/>
  <c r="P47" i="25"/>
  <c r="Q39" i="26"/>
  <c r="Q48" i="31"/>
  <c r="P23" i="29"/>
  <c r="J45" i="26"/>
  <c r="P52" i="29"/>
  <c r="Q50" i="31"/>
  <c r="S40" i="29"/>
  <c r="S49" i="26"/>
  <c r="P30" i="26"/>
  <c r="J40" i="25"/>
  <c r="Q33" i="29"/>
  <c r="P29" i="25"/>
  <c r="P33" i="29"/>
  <c r="J41" i="29"/>
  <c r="P36" i="25"/>
  <c r="P24" i="31"/>
  <c r="J53" i="13"/>
  <c r="P63" i="19"/>
  <c r="J53" i="10"/>
  <c r="J52" i="12"/>
  <c r="S52" i="12"/>
  <c r="S51" i="13"/>
  <c r="Q65" i="11"/>
  <c r="Q62" i="17"/>
  <c r="Q67" i="5"/>
  <c r="J49" i="11"/>
  <c r="P64" i="12"/>
  <c r="Q67" i="7"/>
  <c r="J49" i="5"/>
  <c r="Q64" i="13"/>
  <c r="P62" i="12"/>
  <c r="P62" i="7"/>
  <c r="L53" i="11" l="1"/>
  <c r="K53" i="11"/>
  <c r="L52" i="12"/>
  <c r="K52" i="12"/>
  <c r="L51" i="12"/>
  <c r="K51" i="12"/>
  <c r="L53" i="10"/>
  <c r="K53" i="10"/>
  <c r="R63" i="19"/>
  <c r="I63" i="19" s="1"/>
  <c r="K50" i="12"/>
  <c r="L50" i="12"/>
  <c r="L53" i="13"/>
  <c r="K53" i="13"/>
  <c r="R24" i="31"/>
  <c r="I24" i="31" s="1"/>
  <c r="R36" i="28"/>
  <c r="I36" i="28" s="1"/>
  <c r="R36" i="25"/>
  <c r="I36" i="25" s="1"/>
  <c r="K52" i="19"/>
  <c r="L52" i="19"/>
  <c r="K41" i="29"/>
  <c r="L41" i="29"/>
  <c r="R21" i="25"/>
  <c r="I21" i="25" s="1"/>
  <c r="R33" i="29"/>
  <c r="I33" i="29" s="1"/>
  <c r="R38" i="28"/>
  <c r="I38" i="28" s="1"/>
  <c r="R29" i="25"/>
  <c r="I29" i="25" s="1"/>
  <c r="R29" i="28"/>
  <c r="I29" i="28" s="1"/>
  <c r="R44" i="28"/>
  <c r="I44" i="28" s="1"/>
  <c r="L52" i="18"/>
  <c r="K52" i="18"/>
  <c r="L51" i="17"/>
  <c r="K51" i="17"/>
  <c r="K53" i="19"/>
  <c r="L53" i="19"/>
  <c r="L40" i="25"/>
  <c r="K40" i="25"/>
  <c r="R25" i="25"/>
  <c r="I25" i="25" s="1"/>
  <c r="R30" i="26"/>
  <c r="I30" i="26" s="1"/>
  <c r="R54" i="29"/>
  <c r="I54" i="29" s="1"/>
  <c r="R52" i="28"/>
  <c r="I52" i="28" s="1"/>
  <c r="R43" i="28"/>
  <c r="I43" i="28" s="1"/>
  <c r="K39" i="28"/>
  <c r="L39" i="28"/>
  <c r="K54" i="18"/>
  <c r="L54" i="18"/>
  <c r="R52" i="29"/>
  <c r="I52" i="29" s="1"/>
  <c r="L50" i="18"/>
  <c r="K50" i="18"/>
  <c r="L51" i="19"/>
  <c r="K51" i="19"/>
  <c r="L45" i="26"/>
  <c r="K45" i="26"/>
  <c r="R23" i="29"/>
  <c r="I23" i="29" s="1"/>
  <c r="R32" i="28"/>
  <c r="I32" i="28" s="1"/>
  <c r="R22" i="28"/>
  <c r="I22" i="28" s="1"/>
  <c r="R51" i="25"/>
  <c r="I51" i="25" s="1"/>
  <c r="R53" i="25"/>
  <c r="I53" i="25" s="1"/>
  <c r="R47" i="25"/>
  <c r="I47" i="25" s="1"/>
  <c r="L26" i="26"/>
  <c r="K26" i="26"/>
  <c r="K38" i="28"/>
  <c r="L38" i="28"/>
  <c r="K53" i="29"/>
  <c r="L53" i="29"/>
  <c r="K36" i="29"/>
  <c r="L36" i="29"/>
  <c r="R58" i="25"/>
  <c r="I58" i="25" s="1"/>
  <c r="R58" i="26"/>
  <c r="I58" i="26" s="1"/>
  <c r="S74" i="28"/>
  <c r="R31" i="29"/>
  <c r="I31" i="29" s="1"/>
  <c r="K31" i="26"/>
  <c r="L31" i="26"/>
  <c r="K48" i="25"/>
  <c r="L48" i="25"/>
  <c r="R59" i="25"/>
  <c r="I59" i="25" s="1"/>
  <c r="L32" i="26"/>
  <c r="K32" i="26"/>
  <c r="L43" i="29"/>
  <c r="K43" i="29"/>
  <c r="R20" i="25"/>
  <c r="I20" i="25" s="1"/>
  <c r="L52" i="5"/>
  <c r="K52" i="5"/>
  <c r="L50" i="11"/>
  <c r="K50" i="11"/>
  <c r="K50" i="5"/>
  <c r="L50" i="5"/>
  <c r="L51" i="13"/>
  <c r="K51" i="13"/>
  <c r="L51" i="10"/>
  <c r="K51" i="10"/>
  <c r="L52" i="7"/>
  <c r="K52" i="7"/>
  <c r="K53" i="5"/>
  <c r="L53" i="5"/>
  <c r="L54" i="5"/>
  <c r="K54" i="5"/>
  <c r="R63" i="20"/>
  <c r="I63" i="20" s="1"/>
  <c r="L51" i="7"/>
  <c r="K51" i="7"/>
  <c r="K54" i="7"/>
  <c r="L54" i="7"/>
  <c r="L54" i="12"/>
  <c r="K54" i="12"/>
  <c r="K52" i="13"/>
  <c r="L52" i="13"/>
  <c r="L50" i="13"/>
  <c r="K50" i="13"/>
  <c r="R22" i="26"/>
  <c r="I22" i="26" s="1"/>
  <c r="R52" i="25"/>
  <c r="I52" i="25" s="1"/>
  <c r="R45" i="26"/>
  <c r="I45" i="26" s="1"/>
  <c r="R42" i="28"/>
  <c r="I42" i="28" s="1"/>
  <c r="R28" i="28"/>
  <c r="I28" i="28" s="1"/>
  <c r="R34" i="28"/>
  <c r="I34" i="28" s="1"/>
  <c r="R31" i="28"/>
  <c r="I31" i="28" s="1"/>
  <c r="R36" i="29"/>
  <c r="I36" i="29" s="1"/>
  <c r="R20" i="29"/>
  <c r="I20" i="29" s="1"/>
  <c r="R40" i="26"/>
  <c r="I40" i="26" s="1"/>
  <c r="R27" i="25"/>
  <c r="I27" i="25" s="1"/>
  <c r="R43" i="29"/>
  <c r="I43" i="29" s="1"/>
  <c r="R38" i="29"/>
  <c r="I38" i="29" s="1"/>
  <c r="R53" i="28"/>
  <c r="I53" i="28" s="1"/>
  <c r="R41" i="26"/>
  <c r="I41" i="26" s="1"/>
  <c r="R39" i="28"/>
  <c r="I39" i="28" s="1"/>
  <c r="R49" i="28"/>
  <c r="I49" i="28" s="1"/>
  <c r="R24" i="25"/>
  <c r="I24" i="25" s="1"/>
  <c r="R25" i="28"/>
  <c r="I25" i="28" s="1"/>
  <c r="K50" i="17"/>
  <c r="L50" i="17"/>
  <c r="L26" i="28"/>
  <c r="K26" i="28"/>
  <c r="L54" i="20"/>
  <c r="K54" i="20"/>
  <c r="R46" i="28"/>
  <c r="I46" i="28" s="1"/>
  <c r="K44" i="25"/>
  <c r="L44" i="25"/>
  <c r="R19" i="29"/>
  <c r="I19" i="29" s="1"/>
  <c r="R47" i="26"/>
  <c r="I47" i="26" s="1"/>
  <c r="R28" i="29"/>
  <c r="I28" i="29" s="1"/>
  <c r="R32" i="26"/>
  <c r="I32" i="26" s="1"/>
  <c r="R35" i="28"/>
  <c r="I35" i="28" s="1"/>
  <c r="R48" i="28"/>
  <c r="I48" i="28" s="1"/>
  <c r="K42" i="28"/>
  <c r="L42" i="28"/>
  <c r="K20" i="28"/>
  <c r="L20" i="28"/>
  <c r="K28" i="29"/>
  <c r="L28" i="29"/>
  <c r="R54" i="25"/>
  <c r="I54" i="25" s="1"/>
  <c r="R55" i="28"/>
  <c r="I55" i="28" s="1"/>
  <c r="L37" i="28"/>
  <c r="K37" i="28"/>
  <c r="L24" i="25"/>
  <c r="K24" i="25"/>
  <c r="R37" i="26"/>
  <c r="I37" i="26" s="1"/>
  <c r="R62" i="25"/>
  <c r="I62" i="25" s="1"/>
  <c r="L30" i="28"/>
  <c r="K30" i="28"/>
  <c r="K53" i="25"/>
  <c r="L53" i="25"/>
  <c r="R51" i="26"/>
  <c r="I51" i="26" s="1"/>
  <c r="K39" i="29"/>
  <c r="L39" i="29"/>
  <c r="L47" i="29"/>
  <c r="K47" i="29"/>
  <c r="L25" i="29"/>
  <c r="K25" i="29"/>
  <c r="R34" i="29"/>
  <c r="I34" i="29" s="1"/>
  <c r="R57" i="28"/>
  <c r="I57" i="28" s="1"/>
  <c r="K18" i="28"/>
  <c r="L18" i="28"/>
  <c r="L52" i="10"/>
  <c r="K52" i="10"/>
  <c r="L50" i="7"/>
  <c r="K50" i="7"/>
  <c r="L51" i="5"/>
  <c r="K51" i="5"/>
  <c r="L52" i="11"/>
  <c r="K52" i="11"/>
  <c r="R63" i="17"/>
  <c r="I63" i="17" s="1"/>
  <c r="R22" i="29"/>
  <c r="I22" i="29" s="1"/>
  <c r="R52" i="26"/>
  <c r="I52" i="26" s="1"/>
  <c r="R23" i="25"/>
  <c r="I23" i="25" s="1"/>
  <c r="L54" i="19"/>
  <c r="K54" i="19"/>
  <c r="K53" i="18"/>
  <c r="L53" i="18"/>
  <c r="R45" i="29"/>
  <c r="I45" i="29" s="1"/>
  <c r="L32" i="25"/>
  <c r="K32" i="25"/>
  <c r="R32" i="25"/>
  <c r="I32" i="25" s="1"/>
  <c r="K51" i="20"/>
  <c r="L51" i="20"/>
  <c r="R26" i="25"/>
  <c r="I26" i="25" s="1"/>
  <c r="R29" i="26"/>
  <c r="I29" i="26" s="1"/>
  <c r="R20" i="26"/>
  <c r="I20" i="26" s="1"/>
  <c r="K49" i="26"/>
  <c r="L49" i="26"/>
  <c r="R22" i="25"/>
  <c r="I22" i="25" s="1"/>
  <c r="R50" i="26"/>
  <c r="I50" i="26" s="1"/>
  <c r="R21" i="29"/>
  <c r="I21" i="29" s="1"/>
  <c r="R24" i="28"/>
  <c r="I24" i="28" s="1"/>
  <c r="R23" i="26"/>
  <c r="I23" i="26" s="1"/>
  <c r="L50" i="20"/>
  <c r="K50" i="20"/>
  <c r="K28" i="28"/>
  <c r="L28" i="28"/>
  <c r="L50" i="19"/>
  <c r="K50" i="19"/>
  <c r="R33" i="28"/>
  <c r="I33" i="28" s="1"/>
  <c r="L23" i="28"/>
  <c r="K23" i="28"/>
  <c r="R41" i="29"/>
  <c r="I41" i="29" s="1"/>
  <c r="K52" i="17"/>
  <c r="L52" i="17"/>
  <c r="L51" i="18"/>
  <c r="K51" i="18"/>
  <c r="R38" i="26"/>
  <c r="I38" i="26" s="1"/>
  <c r="R34" i="26"/>
  <c r="I34" i="26" s="1"/>
  <c r="R21" i="28"/>
  <c r="I21" i="28" s="1"/>
  <c r="R49" i="26"/>
  <c r="I49" i="26" s="1"/>
  <c r="R50" i="29"/>
  <c r="I50" i="29" s="1"/>
  <c r="K38" i="29"/>
  <c r="L38" i="29"/>
  <c r="L42" i="26"/>
  <c r="K42" i="26"/>
  <c r="K24" i="29"/>
  <c r="L24" i="29"/>
  <c r="R41" i="31"/>
  <c r="I41" i="31" s="1"/>
  <c r="L45" i="29"/>
  <c r="K45" i="29"/>
  <c r="R37" i="25"/>
  <c r="I37" i="25" s="1"/>
  <c r="L29" i="29"/>
  <c r="K29" i="29"/>
  <c r="K26" i="29"/>
  <c r="L26" i="29"/>
  <c r="R49" i="29"/>
  <c r="I49" i="29" s="1"/>
  <c r="R19" i="31"/>
  <c r="I19" i="31" s="1"/>
  <c r="R26" i="29"/>
  <c r="I26" i="29" s="1"/>
  <c r="K20" i="26"/>
  <c r="L20" i="26"/>
  <c r="L54" i="28"/>
  <c r="K54" i="28"/>
  <c r="R22" i="31"/>
  <c r="I22" i="31" s="1"/>
  <c r="L51" i="11"/>
  <c r="K51" i="11"/>
  <c r="L54" i="10"/>
  <c r="K54" i="10"/>
  <c r="L50" i="10"/>
  <c r="K50" i="10"/>
  <c r="L54" i="13"/>
  <c r="K54" i="13"/>
  <c r="K53" i="12"/>
  <c r="L53" i="12"/>
  <c r="L54" i="11"/>
  <c r="K54" i="11"/>
  <c r="L53" i="7"/>
  <c r="K53" i="7"/>
  <c r="K22" i="26"/>
  <c r="L22" i="26"/>
  <c r="R50" i="25"/>
  <c r="I50" i="25" s="1"/>
  <c r="L44" i="28"/>
  <c r="K44" i="28"/>
  <c r="L51" i="29"/>
  <c r="K51" i="29"/>
  <c r="R47" i="28"/>
  <c r="I47" i="28" s="1"/>
  <c r="L52" i="20"/>
  <c r="K52" i="20"/>
  <c r="R33" i="26"/>
  <c r="I33" i="26" s="1"/>
  <c r="L46" i="25"/>
  <c r="K46" i="25"/>
  <c r="R39" i="31"/>
  <c r="I39" i="31" s="1"/>
  <c r="R30" i="25"/>
  <c r="I30" i="25" s="1"/>
  <c r="K36" i="26"/>
  <c r="L36" i="26"/>
  <c r="R47" i="29"/>
  <c r="I47" i="29" s="1"/>
  <c r="L53" i="20"/>
  <c r="K53" i="20"/>
  <c r="L54" i="17"/>
  <c r="K54" i="17"/>
  <c r="R19" i="26"/>
  <c r="I19" i="26" s="1"/>
  <c r="R45" i="28"/>
  <c r="I45" i="28" s="1"/>
  <c r="L53" i="17"/>
  <c r="K53" i="17"/>
  <c r="R26" i="31"/>
  <c r="I26" i="31" s="1"/>
  <c r="R41" i="28"/>
  <c r="I41" i="28" s="1"/>
  <c r="R51" i="28"/>
  <c r="I51" i="28" s="1"/>
  <c r="K27" i="25"/>
  <c r="L27" i="25"/>
  <c r="L52" i="28"/>
  <c r="K52" i="28"/>
  <c r="R39" i="25"/>
  <c r="I39" i="25" s="1"/>
  <c r="R27" i="29"/>
  <c r="I27" i="29" s="1"/>
  <c r="R48" i="26"/>
  <c r="I48" i="26" s="1"/>
  <c r="R37" i="28"/>
  <c r="I37" i="28" s="1"/>
  <c r="R54" i="28"/>
  <c r="I54" i="28" s="1"/>
  <c r="K51" i="25"/>
  <c r="L51" i="25"/>
  <c r="R30" i="28"/>
  <c r="I30" i="28" s="1"/>
  <c r="L49" i="29"/>
  <c r="K49" i="29"/>
  <c r="R44" i="29"/>
  <c r="I44" i="29" s="1"/>
  <c r="R40" i="28"/>
  <c r="I40" i="28" s="1"/>
  <c r="R21" i="26"/>
  <c r="I21" i="26" s="1"/>
  <c r="R48" i="31"/>
  <c r="I48" i="31" s="1"/>
  <c r="R36" i="26"/>
  <c r="I36" i="26" s="1"/>
  <c r="L52" i="25"/>
  <c r="K52" i="25"/>
  <c r="L42" i="25"/>
  <c r="K42" i="25"/>
  <c r="R53" i="31"/>
  <c r="I53" i="31" s="1"/>
  <c r="K33" i="29"/>
  <c r="L33" i="29"/>
  <c r="L48" i="26"/>
  <c r="K48" i="26"/>
  <c r="K32" i="29"/>
  <c r="L32" i="29"/>
  <c r="L37" i="26"/>
  <c r="K37" i="26"/>
  <c r="K28" i="25"/>
  <c r="L28" i="25"/>
  <c r="R39" i="29"/>
  <c r="I39" i="29" s="1"/>
  <c r="R28" i="31"/>
  <c r="I28" i="31" s="1"/>
  <c r="L51" i="26"/>
  <c r="K51" i="26"/>
  <c r="L38" i="25"/>
  <c r="K38" i="25"/>
  <c r="R27" i="28"/>
  <c r="I27" i="28" s="1"/>
  <c r="L47" i="28"/>
  <c r="K47" i="28"/>
  <c r="L52" i="29"/>
  <c r="K52" i="29"/>
  <c r="R32" i="29"/>
  <c r="I32" i="29" s="1"/>
  <c r="R40" i="25"/>
  <c r="I40" i="25" s="1"/>
  <c r="R51" i="31"/>
  <c r="I51" i="31" s="1"/>
  <c r="R56" i="28"/>
  <c r="I56" i="28" s="1"/>
  <c r="R46" i="25"/>
  <c r="I46" i="25" s="1"/>
  <c r="K41" i="25"/>
  <c r="L41" i="25"/>
  <c r="L33" i="28"/>
  <c r="K33" i="28"/>
  <c r="R50" i="31"/>
  <c r="I50" i="31" s="1"/>
  <c r="K25" i="25"/>
  <c r="L25" i="25"/>
  <c r="L50" i="29"/>
  <c r="K50" i="29"/>
  <c r="L21" i="25"/>
  <c r="K21" i="25"/>
  <c r="R30" i="31"/>
  <c r="I30" i="31" s="1"/>
  <c r="R44" i="31"/>
  <c r="I44" i="31" s="1"/>
  <c r="R35" i="29"/>
  <c r="I35" i="29" s="1"/>
  <c r="R26" i="26"/>
  <c r="I26" i="26" s="1"/>
  <c r="L54" i="26"/>
  <c r="K54" i="26"/>
  <c r="R31" i="26"/>
  <c r="I31" i="26" s="1"/>
  <c r="K54" i="29"/>
  <c r="L54" i="29"/>
  <c r="R64" i="17"/>
  <c r="I64" i="17" s="1"/>
  <c r="R64" i="18"/>
  <c r="I64" i="18" s="1"/>
  <c r="R64" i="19"/>
  <c r="I64" i="19" s="1"/>
  <c r="R64" i="20"/>
  <c r="I64" i="20" s="1"/>
  <c r="R20" i="31"/>
  <c r="I20" i="31" s="1"/>
  <c r="R54" i="26"/>
  <c r="I54" i="26" s="1"/>
  <c r="R46" i="31"/>
  <c r="I46" i="31" s="1"/>
  <c r="L34" i="25"/>
  <c r="K34" i="25"/>
  <c r="R59" i="29"/>
  <c r="I59" i="29" s="1"/>
  <c r="R23" i="28"/>
  <c r="I23" i="28" s="1"/>
  <c r="K22" i="28"/>
  <c r="L22" i="28"/>
  <c r="K39" i="26"/>
  <c r="L39" i="26"/>
  <c r="R57" i="25"/>
  <c r="I57" i="25" s="1"/>
  <c r="L31" i="28"/>
  <c r="K31" i="28"/>
  <c r="K54" i="25"/>
  <c r="L54" i="25"/>
  <c r="K53" i="26"/>
  <c r="L53" i="26"/>
  <c r="R49" i="25"/>
  <c r="I49" i="25" s="1"/>
  <c r="K18" i="26"/>
  <c r="L18" i="26"/>
  <c r="L35" i="28"/>
  <c r="K35" i="28"/>
  <c r="L42" i="29"/>
  <c r="K42" i="29"/>
  <c r="R46" i="29"/>
  <c r="I46" i="29" s="1"/>
  <c r="L37" i="25"/>
  <c r="K37" i="25"/>
  <c r="R25" i="29"/>
  <c r="I25" i="29" s="1"/>
  <c r="L31" i="25"/>
  <c r="K31" i="25"/>
  <c r="K52" i="26"/>
  <c r="L52" i="26"/>
  <c r="L25" i="28"/>
  <c r="K25" i="28"/>
  <c r="R42" i="26"/>
  <c r="I42" i="26" s="1"/>
  <c r="K18" i="29"/>
  <c r="L18" i="29"/>
  <c r="L41" i="28"/>
  <c r="K41" i="28"/>
  <c r="R47" i="31"/>
  <c r="I47" i="31" s="1"/>
  <c r="R63" i="18"/>
  <c r="I63" i="18" s="1"/>
  <c r="R35" i="25"/>
  <c r="I35" i="25" s="1"/>
  <c r="K30" i="29"/>
  <c r="L30" i="29"/>
  <c r="R55" i="26"/>
  <c r="I55" i="26" s="1"/>
  <c r="L49" i="28"/>
  <c r="K49" i="28"/>
  <c r="R43" i="25"/>
  <c r="I43" i="25" s="1"/>
  <c r="K44" i="26"/>
  <c r="L44" i="26"/>
  <c r="R38" i="31"/>
  <c r="I38" i="31" s="1"/>
  <c r="R31" i="25"/>
  <c r="I31" i="25" s="1"/>
  <c r="L47" i="25"/>
  <c r="K47" i="25"/>
  <c r="R56" i="29"/>
  <c r="I56" i="29" s="1"/>
  <c r="K34" i="26"/>
  <c r="L34" i="26"/>
  <c r="R66" i="17"/>
  <c r="I66" i="17" s="1"/>
  <c r="R65" i="18"/>
  <c r="I65" i="18" s="1"/>
  <c r="R67" i="19"/>
  <c r="I67" i="19" s="1"/>
  <c r="R67" i="20"/>
  <c r="I67" i="20" s="1"/>
  <c r="L18" i="25"/>
  <c r="K18" i="25"/>
  <c r="K53" i="28"/>
  <c r="L53" i="28"/>
  <c r="K29" i="28"/>
  <c r="L29" i="28"/>
  <c r="R24" i="29"/>
  <c r="I24" i="29" s="1"/>
  <c r="L47" i="26"/>
  <c r="K47" i="26"/>
  <c r="R30" i="29"/>
  <c r="I30" i="29" s="1"/>
  <c r="K37" i="29"/>
  <c r="L37" i="29"/>
  <c r="R31" i="31"/>
  <c r="I31" i="31" s="1"/>
  <c r="R55" i="29"/>
  <c r="I55" i="29" s="1"/>
  <c r="R57" i="29"/>
  <c r="I57" i="29" s="1"/>
  <c r="L28" i="26"/>
  <c r="K28" i="26"/>
  <c r="R19" i="28"/>
  <c r="I19" i="28" s="1"/>
  <c r="L39" i="25"/>
  <c r="K39" i="25"/>
  <c r="L46" i="28"/>
  <c r="K46" i="28"/>
  <c r="K50" i="28"/>
  <c r="L50" i="28"/>
  <c r="K35" i="26"/>
  <c r="L35" i="26"/>
  <c r="R23" i="31"/>
  <c r="I23" i="31" s="1"/>
  <c r="L33" i="26"/>
  <c r="K33" i="26"/>
  <c r="L23" i="26"/>
  <c r="K23" i="26"/>
  <c r="R35" i="26"/>
  <c r="I35" i="26" s="1"/>
  <c r="R45" i="31"/>
  <c r="I45" i="31" s="1"/>
  <c r="K50" i="25"/>
  <c r="L50" i="25"/>
  <c r="K34" i="29"/>
  <c r="L34" i="29"/>
  <c r="R48" i="29"/>
  <c r="I48" i="29" s="1"/>
  <c r="K19" i="28"/>
  <c r="L19" i="28"/>
  <c r="R35" i="31"/>
  <c r="I35" i="31" s="1"/>
  <c r="L51" i="28"/>
  <c r="K51" i="28"/>
  <c r="R28" i="26"/>
  <c r="I28" i="26" s="1"/>
  <c r="R60" i="25"/>
  <c r="I60" i="25" s="1"/>
  <c r="K45" i="28"/>
  <c r="L45" i="28"/>
  <c r="K34" i="28"/>
  <c r="L34" i="28"/>
  <c r="R50" i="28"/>
  <c r="I50" i="28" s="1"/>
  <c r="R38" i="25"/>
  <c r="I38" i="25" s="1"/>
  <c r="L48" i="28"/>
  <c r="K48" i="28"/>
  <c r="L24" i="28"/>
  <c r="K24" i="28"/>
  <c r="R37" i="31"/>
  <c r="I37" i="31" s="1"/>
  <c r="R41" i="25"/>
  <c r="I41" i="25" s="1"/>
  <c r="L40" i="26"/>
  <c r="K40" i="26"/>
  <c r="L49" i="25"/>
  <c r="K49" i="25"/>
  <c r="R20" i="28"/>
  <c r="I20" i="28" s="1"/>
  <c r="R48" i="25"/>
  <c r="I48" i="25" s="1"/>
  <c r="L36" i="25"/>
  <c r="K36" i="25"/>
  <c r="K25" i="26"/>
  <c r="L25" i="26"/>
  <c r="R63" i="25"/>
  <c r="I63" i="25" s="1"/>
  <c r="R19" i="25"/>
  <c r="I19" i="25" s="1"/>
  <c r="R39" i="26"/>
  <c r="I39" i="26" s="1"/>
  <c r="R25" i="31"/>
  <c r="I25" i="31" s="1"/>
  <c r="R59" i="26"/>
  <c r="I59" i="26" s="1"/>
  <c r="K27" i="26"/>
  <c r="L27" i="26"/>
  <c r="R58" i="28"/>
  <c r="I58" i="28" s="1"/>
  <c r="K46" i="29"/>
  <c r="L46" i="29"/>
  <c r="K41" i="26"/>
  <c r="L41" i="26"/>
  <c r="R25" i="26"/>
  <c r="I25" i="26" s="1"/>
  <c r="L43" i="25"/>
  <c r="K43" i="25"/>
  <c r="R40" i="29"/>
  <c r="I40" i="29" s="1"/>
  <c r="L20" i="25"/>
  <c r="K20" i="25"/>
  <c r="K43" i="28"/>
  <c r="L43" i="28"/>
  <c r="L29" i="25"/>
  <c r="K29" i="25"/>
  <c r="R53" i="29"/>
  <c r="I53" i="29" s="1"/>
  <c r="R33" i="31"/>
  <c r="I33" i="31" s="1"/>
  <c r="K29" i="26"/>
  <c r="L29" i="26"/>
  <c r="K48" i="29"/>
  <c r="L48" i="29"/>
  <c r="L19" i="26"/>
  <c r="K19" i="26"/>
  <c r="L40" i="28"/>
  <c r="K40" i="28"/>
  <c r="K27" i="28"/>
  <c r="L27" i="28"/>
  <c r="R28" i="25"/>
  <c r="I28" i="25" s="1"/>
  <c r="K45" i="25"/>
  <c r="L45" i="25"/>
  <c r="L20" i="29"/>
  <c r="K20" i="29"/>
  <c r="L22" i="25"/>
  <c r="K22" i="25"/>
  <c r="R65" i="17"/>
  <c r="I65" i="17" s="1"/>
  <c r="R67" i="18"/>
  <c r="I67" i="18" s="1"/>
  <c r="R66" i="19"/>
  <c r="I66" i="19" s="1"/>
  <c r="R65" i="20"/>
  <c r="I65" i="20" s="1"/>
  <c r="R37" i="29"/>
  <c r="I37" i="29" s="1"/>
  <c r="L31" i="29"/>
  <c r="K31" i="29"/>
  <c r="L21" i="29"/>
  <c r="K21" i="29"/>
  <c r="L38" i="26"/>
  <c r="K38" i="26"/>
  <c r="R45" i="25"/>
  <c r="I45" i="25" s="1"/>
  <c r="R24" i="26"/>
  <c r="I24" i="26" s="1"/>
  <c r="R33" i="25"/>
  <c r="I33" i="25" s="1"/>
  <c r="L19" i="25"/>
  <c r="K19" i="25"/>
  <c r="R26" i="28"/>
  <c r="I26" i="28" s="1"/>
  <c r="R57" i="26"/>
  <c r="I57" i="26" s="1"/>
  <c r="R42" i="25"/>
  <c r="I42" i="25" s="1"/>
  <c r="R34" i="31"/>
  <c r="I34" i="31" s="1"/>
  <c r="R46" i="26"/>
  <c r="I46" i="26" s="1"/>
  <c r="K40" i="29"/>
  <c r="L40" i="29"/>
  <c r="R43" i="26"/>
  <c r="I43" i="26" s="1"/>
  <c r="R56" i="25"/>
  <c r="I56" i="25" s="1"/>
  <c r="R27" i="31"/>
  <c r="I27" i="31" s="1"/>
  <c r="R44" i="25"/>
  <c r="I44" i="25" s="1"/>
  <c r="L21" i="26"/>
  <c r="K21" i="26"/>
  <c r="K19" i="29"/>
  <c r="L19" i="29"/>
  <c r="R27" i="26"/>
  <c r="I27" i="26" s="1"/>
  <c r="R59" i="28"/>
  <c r="I59" i="28" s="1"/>
  <c r="R49" i="31"/>
  <c r="I49" i="31" s="1"/>
  <c r="K26" i="25"/>
  <c r="L26" i="25"/>
  <c r="L43" i="26"/>
  <c r="K43" i="26"/>
  <c r="R42" i="29"/>
  <c r="I42" i="29" s="1"/>
  <c r="L33" i="25"/>
  <c r="K33" i="25"/>
  <c r="R32" i="31"/>
  <c r="I32" i="31" s="1"/>
  <c r="R55" i="25"/>
  <c r="I55" i="25" s="1"/>
  <c r="R21" i="31"/>
  <c r="I21" i="31" s="1"/>
  <c r="K35" i="25"/>
  <c r="L35" i="25"/>
  <c r="K30" i="26"/>
  <c r="L30" i="26"/>
  <c r="L36" i="28"/>
  <c r="K36" i="28"/>
  <c r="R43" i="31"/>
  <c r="I43" i="31" s="1"/>
  <c r="L50" i="26"/>
  <c r="K50" i="26"/>
  <c r="K21" i="28"/>
  <c r="L21" i="28"/>
  <c r="R29" i="31"/>
  <c r="I29" i="31" s="1"/>
  <c r="R40" i="31"/>
  <c r="I40" i="31" s="1"/>
  <c r="R42" i="31"/>
  <c r="I42" i="31" s="1"/>
  <c r="K22" i="29"/>
  <c r="L22" i="29"/>
  <c r="K30" i="25"/>
  <c r="L30" i="25"/>
  <c r="R44" i="26"/>
  <c r="I44" i="26" s="1"/>
  <c r="R36" i="31"/>
  <c r="I36" i="31" s="1"/>
  <c r="R51" i="29"/>
  <c r="I51" i="29" s="1"/>
  <c r="L24" i="26"/>
  <c r="K24" i="26"/>
  <c r="K46" i="26"/>
  <c r="L46" i="26"/>
  <c r="S74" i="29"/>
  <c r="R29" i="29"/>
  <c r="I29" i="29" s="1"/>
  <c r="L44" i="29"/>
  <c r="K44" i="29"/>
  <c r="R58" i="29"/>
  <c r="I58" i="29" s="1"/>
  <c r="L32" i="28"/>
  <c r="K32" i="28"/>
  <c r="K23" i="29"/>
  <c r="L23" i="29"/>
  <c r="R34" i="25"/>
  <c r="I34" i="25" s="1"/>
  <c r="K23" i="25"/>
  <c r="L23" i="25"/>
  <c r="R56" i="26"/>
  <c r="I56" i="26" s="1"/>
  <c r="R53" i="26"/>
  <c r="I53" i="26" s="1"/>
  <c r="R54" i="31"/>
  <c r="I54" i="31" s="1"/>
  <c r="R61" i="25"/>
  <c r="I61" i="25" s="1"/>
  <c r="K35" i="29"/>
  <c r="L35" i="29"/>
  <c r="K27" i="29"/>
  <c r="L27" i="29"/>
  <c r="R52" i="31"/>
  <c r="I52" i="31" s="1"/>
  <c r="R67" i="17"/>
  <c r="I67" i="17" s="1"/>
  <c r="R66" i="18"/>
  <c r="I66" i="18" s="1"/>
  <c r="R65" i="19"/>
  <c r="I65" i="19" s="1"/>
  <c r="R66" i="20"/>
  <c r="I66" i="20" s="1"/>
  <c r="S74" i="26"/>
  <c r="R67" i="13"/>
  <c r="I67" i="13" s="1"/>
  <c r="R66" i="13"/>
  <c r="I66" i="13" s="1"/>
  <c r="R65" i="13"/>
  <c r="I65" i="13" s="1"/>
  <c r="R64" i="13"/>
  <c r="I64" i="13" s="1"/>
  <c r="R66" i="12"/>
  <c r="I66" i="12" s="1"/>
  <c r="R65" i="12"/>
  <c r="I65" i="12" s="1"/>
  <c r="R67" i="12"/>
  <c r="I67" i="12" s="1"/>
  <c r="R64" i="12"/>
  <c r="I64" i="12" s="1"/>
  <c r="R65" i="11"/>
  <c r="I65" i="11" s="1"/>
  <c r="R66" i="11"/>
  <c r="I66" i="11" s="1"/>
  <c r="R67" i="11"/>
  <c r="I67" i="11" s="1"/>
  <c r="R64" i="11"/>
  <c r="I64" i="11" s="1"/>
  <c r="R66" i="10"/>
  <c r="I66" i="10" s="1"/>
  <c r="R67" i="10"/>
  <c r="I67" i="10" s="1"/>
  <c r="R65" i="10"/>
  <c r="I65" i="10" s="1"/>
  <c r="R64" i="10"/>
  <c r="I64" i="10" s="1"/>
  <c r="R66" i="5"/>
  <c r="I66" i="5" s="1"/>
  <c r="R65" i="5"/>
  <c r="I65" i="5" s="1"/>
  <c r="R67" i="5"/>
  <c r="I67" i="5" s="1"/>
  <c r="R64" i="5"/>
  <c r="I64" i="5" s="1"/>
  <c r="R65" i="7"/>
  <c r="I65" i="7" s="1"/>
  <c r="R67" i="7"/>
  <c r="I67" i="7" s="1"/>
  <c r="R66" i="7"/>
  <c r="I66" i="7" s="1"/>
  <c r="R64" i="7"/>
  <c r="I64" i="7" s="1"/>
  <c r="R63" i="13"/>
  <c r="I63" i="13" s="1"/>
  <c r="R63" i="12"/>
  <c r="I63" i="12" s="1"/>
  <c r="R63" i="5"/>
  <c r="I63" i="5" s="1"/>
  <c r="R63" i="10"/>
  <c r="I63" i="10" s="1"/>
  <c r="R63" i="11"/>
  <c r="I63" i="11" s="1"/>
  <c r="R63" i="7"/>
  <c r="I63" i="7" s="1"/>
  <c r="AI5" i="4"/>
  <c r="O49" i="20"/>
  <c r="N49" i="17"/>
  <c r="N49" i="13"/>
  <c r="O49" i="7"/>
  <c r="L49" i="20"/>
  <c r="K49" i="20"/>
  <c r="L49" i="19"/>
  <c r="K49" i="19"/>
  <c r="O49" i="19"/>
  <c r="O49" i="18"/>
  <c r="L49" i="18"/>
  <c r="K49" i="18"/>
  <c r="L49" i="17"/>
  <c r="K49" i="17"/>
  <c r="L49" i="13"/>
  <c r="K49" i="13"/>
  <c r="O49" i="12"/>
  <c r="L49" i="12"/>
  <c r="K49" i="12"/>
  <c r="L49" i="11"/>
  <c r="K49" i="11"/>
  <c r="O49" i="11"/>
  <c r="L49" i="10"/>
  <c r="K49" i="10"/>
  <c r="O49" i="10"/>
  <c r="O49" i="5"/>
  <c r="K49" i="5"/>
  <c r="L49" i="5"/>
  <c r="L49" i="7"/>
  <c r="K49" i="7"/>
  <c r="O5" i="26"/>
  <c r="L5" i="26"/>
  <c r="AH21" i="16"/>
  <c r="AK21" i="16" s="1"/>
  <c r="AH22" i="16"/>
  <c r="AK22" i="16" s="1"/>
  <c r="AH19" i="16"/>
  <c r="AK19" i="16" s="1"/>
  <c r="AH20" i="16"/>
  <c r="AK20" i="16" s="1"/>
  <c r="C15" i="16"/>
  <c r="B26" i="4"/>
  <c r="C26" i="4"/>
  <c r="D26" i="4"/>
  <c r="E26" i="4"/>
  <c r="F26" i="4"/>
  <c r="G26" i="4"/>
  <c r="H26" i="4"/>
  <c r="I26" i="4"/>
  <c r="J26" i="4"/>
  <c r="L26" i="4"/>
  <c r="B25" i="4"/>
  <c r="C25" i="4"/>
  <c r="D25" i="4"/>
  <c r="E25" i="4"/>
  <c r="F25" i="4"/>
  <c r="G25" i="4"/>
  <c r="H25" i="4"/>
  <c r="I25" i="4"/>
  <c r="J25" i="4"/>
  <c r="L25" i="4"/>
  <c r="B24" i="4"/>
  <c r="C24" i="4"/>
  <c r="D24" i="4"/>
  <c r="E24" i="4"/>
  <c r="F24" i="4"/>
  <c r="G24" i="4"/>
  <c r="H24" i="4"/>
  <c r="I24" i="4"/>
  <c r="J24" i="4"/>
  <c r="L24" i="4"/>
  <c r="B23" i="4"/>
  <c r="C23" i="4"/>
  <c r="D23" i="4"/>
  <c r="E23" i="4"/>
  <c r="F23" i="4"/>
  <c r="G23" i="4"/>
  <c r="H23" i="4"/>
  <c r="I23" i="4"/>
  <c r="J23" i="4"/>
  <c r="M48" i="20"/>
  <c r="O48" i="20" s="1"/>
  <c r="M47" i="20"/>
  <c r="N47" i="20" s="1"/>
  <c r="M46" i="20"/>
  <c r="N46" i="20" s="1"/>
  <c r="M45" i="20"/>
  <c r="N45" i="20" s="1"/>
  <c r="M48" i="19"/>
  <c r="N48" i="19" s="1"/>
  <c r="M47" i="19"/>
  <c r="N47" i="19" s="1"/>
  <c r="M46" i="19"/>
  <c r="O46" i="19" s="1"/>
  <c r="M45" i="19"/>
  <c r="O45" i="19" s="1"/>
  <c r="M48" i="18"/>
  <c r="N48" i="18" s="1"/>
  <c r="M47" i="18"/>
  <c r="N47" i="18" s="1"/>
  <c r="M46" i="18"/>
  <c r="N46" i="18" s="1"/>
  <c r="M45" i="18"/>
  <c r="N45" i="18" s="1"/>
  <c r="M48" i="17"/>
  <c r="N48" i="17" s="1"/>
  <c r="M47" i="17"/>
  <c r="N47" i="17" s="1"/>
  <c r="M46" i="17"/>
  <c r="N46" i="17" s="1"/>
  <c r="M45" i="17"/>
  <c r="O45" i="17" s="1"/>
  <c r="M48" i="13"/>
  <c r="N48" i="13" s="1"/>
  <c r="M47" i="13"/>
  <c r="N47" i="13" s="1"/>
  <c r="M46" i="13"/>
  <c r="N46" i="13" s="1"/>
  <c r="M45" i="13"/>
  <c r="N45" i="13" s="1"/>
  <c r="M48" i="12"/>
  <c r="O48" i="12" s="1"/>
  <c r="M47" i="12"/>
  <c r="O47" i="12" s="1"/>
  <c r="M46" i="12"/>
  <c r="N46" i="12" s="1"/>
  <c r="M45" i="12"/>
  <c r="O45" i="12" s="1"/>
  <c r="P61" i="17"/>
  <c r="S48" i="19"/>
  <c r="S48" i="20"/>
  <c r="Q62" i="19"/>
  <c r="J46" i="20"/>
  <c r="J45" i="20"/>
  <c r="Q62" i="5"/>
  <c r="P60" i="18"/>
  <c r="J45" i="18"/>
  <c r="Q62" i="12"/>
  <c r="S46" i="13"/>
  <c r="P58" i="13"/>
  <c r="S47" i="20"/>
  <c r="J48" i="13"/>
  <c r="J46" i="18"/>
  <c r="J45" i="12"/>
  <c r="S48" i="12"/>
  <c r="P59" i="13"/>
  <c r="J45" i="17"/>
  <c r="J47" i="13"/>
  <c r="S46" i="12"/>
  <c r="S47" i="19"/>
  <c r="P60" i="13"/>
  <c r="Q62" i="11"/>
  <c r="S45" i="19"/>
  <c r="S46" i="18"/>
  <c r="P60" i="19"/>
  <c r="J45" i="13"/>
  <c r="J46" i="17"/>
  <c r="J45" i="19"/>
  <c r="J48" i="12"/>
  <c r="S45" i="18"/>
  <c r="P59" i="18"/>
  <c r="P59" i="17"/>
  <c r="S48" i="18"/>
  <c r="Q60" i="12"/>
  <c r="P62" i="17"/>
  <c r="S48" i="13"/>
  <c r="Q62" i="20"/>
  <c r="S45" i="20"/>
  <c r="J48" i="17"/>
  <c r="Q61" i="20"/>
  <c r="J46" i="12"/>
  <c r="S45" i="17"/>
  <c r="P58" i="18"/>
  <c r="J47" i="12"/>
  <c r="Q62" i="10"/>
  <c r="J48" i="19"/>
  <c r="Q62" i="7"/>
  <c r="Q62" i="18"/>
  <c r="S46" i="17"/>
  <c r="D15" i="16"/>
  <c r="J47" i="17"/>
  <c r="P62" i="13"/>
  <c r="P61" i="13"/>
  <c r="J46" i="13"/>
  <c r="J46" i="19"/>
  <c r="S46" i="19"/>
  <c r="S45" i="13"/>
  <c r="S48" i="17"/>
  <c r="J47" i="18"/>
  <c r="S46" i="20"/>
  <c r="P60" i="17"/>
  <c r="S45" i="12"/>
  <c r="J47" i="20"/>
  <c r="S47" i="12"/>
  <c r="J47" i="19"/>
  <c r="S47" i="17"/>
  <c r="P61" i="19"/>
  <c r="J48" i="20"/>
  <c r="S47" i="18"/>
  <c r="S47" i="13"/>
  <c r="P61" i="18"/>
  <c r="J48" i="18"/>
  <c r="Q61" i="12"/>
  <c r="R62" i="5" l="1"/>
  <c r="I62" i="5" s="1"/>
  <c r="R62" i="11"/>
  <c r="I62" i="11" s="1"/>
  <c r="R62" i="18"/>
  <c r="I62" i="18" s="1"/>
  <c r="R62" i="17"/>
  <c r="I62" i="17" s="1"/>
  <c r="R62" i="10"/>
  <c r="I62" i="10" s="1"/>
  <c r="R62" i="12"/>
  <c r="I62" i="12" s="1"/>
  <c r="R62" i="19"/>
  <c r="I62" i="19" s="1"/>
  <c r="R62" i="20"/>
  <c r="I62" i="20" s="1"/>
  <c r="R62" i="13"/>
  <c r="I62" i="13" s="1"/>
  <c r="R62" i="7"/>
  <c r="I62" i="7" s="1"/>
  <c r="N48" i="12"/>
  <c r="O48" i="19"/>
  <c r="N47" i="12"/>
  <c r="N48" i="20"/>
  <c r="L48" i="20"/>
  <c r="K48" i="20"/>
  <c r="L47" i="20"/>
  <c r="K47" i="20"/>
  <c r="O47" i="20"/>
  <c r="L46" i="20"/>
  <c r="K46" i="20"/>
  <c r="O46" i="20"/>
  <c r="L45" i="20"/>
  <c r="K45" i="20"/>
  <c r="O45" i="20"/>
  <c r="N45" i="19"/>
  <c r="N46" i="19"/>
  <c r="L48" i="19"/>
  <c r="K48" i="19"/>
  <c r="O47" i="19"/>
  <c r="L47" i="19"/>
  <c r="K47" i="19"/>
  <c r="L46" i="19"/>
  <c r="K46" i="19"/>
  <c r="L45" i="19"/>
  <c r="K45" i="19"/>
  <c r="O48" i="18"/>
  <c r="O47" i="18"/>
  <c r="O45" i="18"/>
  <c r="L48" i="18"/>
  <c r="K48" i="18"/>
  <c r="L47" i="18"/>
  <c r="K47" i="18"/>
  <c r="L46" i="18"/>
  <c r="K46" i="18"/>
  <c r="O46" i="18"/>
  <c r="L45" i="18"/>
  <c r="K45" i="18"/>
  <c r="O48" i="17"/>
  <c r="K48" i="17"/>
  <c r="L48" i="17"/>
  <c r="O47" i="17"/>
  <c r="N45" i="17"/>
  <c r="L47" i="17"/>
  <c r="K47" i="17"/>
  <c r="O46" i="17"/>
  <c r="L46" i="17"/>
  <c r="K46" i="17"/>
  <c r="L45" i="17"/>
  <c r="K45" i="17"/>
  <c r="O48" i="13"/>
  <c r="O47" i="13"/>
  <c r="L48" i="13"/>
  <c r="K48" i="13"/>
  <c r="O46" i="13"/>
  <c r="L47" i="13"/>
  <c r="K47" i="13"/>
  <c r="O45" i="13"/>
  <c r="L46" i="13"/>
  <c r="K46" i="13"/>
  <c r="L45" i="13"/>
  <c r="K45" i="13"/>
  <c r="N45" i="12"/>
  <c r="L48" i="12"/>
  <c r="K48" i="12"/>
  <c r="K47" i="12"/>
  <c r="L47" i="12"/>
  <c r="O46" i="12"/>
  <c r="L46" i="12"/>
  <c r="K46" i="12"/>
  <c r="L45" i="12"/>
  <c r="K45" i="12"/>
  <c r="M48" i="11"/>
  <c r="N48" i="11" s="1"/>
  <c r="M47" i="11"/>
  <c r="N47" i="11" s="1"/>
  <c r="M46" i="11"/>
  <c r="O46" i="11" s="1"/>
  <c r="M45" i="11"/>
  <c r="N45" i="11" s="1"/>
  <c r="M48" i="10"/>
  <c r="N48" i="10" s="1"/>
  <c r="M47" i="10"/>
  <c r="N47" i="10" s="1"/>
  <c r="M46" i="10"/>
  <c r="N46" i="10" s="1"/>
  <c r="M45" i="10"/>
  <c r="O45" i="10" s="1"/>
  <c r="M48" i="5"/>
  <c r="N48" i="5" s="1"/>
  <c r="M47" i="5"/>
  <c r="N47" i="5" s="1"/>
  <c r="M46" i="5"/>
  <c r="N46" i="5" s="1"/>
  <c r="M45" i="5"/>
  <c r="O45" i="5" s="1"/>
  <c r="M48" i="7"/>
  <c r="O48" i="7" s="1"/>
  <c r="M47" i="7"/>
  <c r="N47" i="7" s="1"/>
  <c r="M46" i="7"/>
  <c r="O46" i="7" s="1"/>
  <c r="M45" i="7"/>
  <c r="N45" i="7" s="1"/>
  <c r="H63" i="2"/>
  <c r="I63" i="2"/>
  <c r="J63" i="2"/>
  <c r="K63" i="2"/>
  <c r="L63" i="2"/>
  <c r="M63" i="2"/>
  <c r="P63" i="2"/>
  <c r="Q63" i="2"/>
  <c r="R63" i="2"/>
  <c r="S63" i="2"/>
  <c r="H62" i="2"/>
  <c r="I62" i="2"/>
  <c r="J62" i="2"/>
  <c r="K62" i="2"/>
  <c r="L62" i="2"/>
  <c r="M62" i="2"/>
  <c r="P62" i="2"/>
  <c r="Q62" i="2"/>
  <c r="R62" i="2"/>
  <c r="S62" i="2"/>
  <c r="H61" i="2"/>
  <c r="I61" i="2"/>
  <c r="J61" i="2"/>
  <c r="K61" i="2"/>
  <c r="L61" i="2"/>
  <c r="M61" i="2"/>
  <c r="P61" i="2"/>
  <c r="Q61" i="2"/>
  <c r="R61" i="2"/>
  <c r="S61" i="2"/>
  <c r="H60" i="2"/>
  <c r="I60" i="2"/>
  <c r="J60" i="2"/>
  <c r="K60" i="2"/>
  <c r="L60" i="2"/>
  <c r="M60" i="2"/>
  <c r="P60" i="2"/>
  <c r="Q60" i="2"/>
  <c r="R60" i="2"/>
  <c r="S60" i="2"/>
  <c r="H59" i="2"/>
  <c r="I59" i="2"/>
  <c r="J59" i="2"/>
  <c r="K59" i="2"/>
  <c r="L59" i="2"/>
  <c r="M59" i="2"/>
  <c r="P59" i="2"/>
  <c r="Q59" i="2"/>
  <c r="R59" i="2"/>
  <c r="S59" i="2"/>
  <c r="H58" i="2"/>
  <c r="I58" i="2"/>
  <c r="J58" i="2"/>
  <c r="K58" i="2"/>
  <c r="L58" i="2"/>
  <c r="M58" i="2"/>
  <c r="P58" i="2"/>
  <c r="Q58" i="2"/>
  <c r="R58" i="2"/>
  <c r="S58" i="2"/>
  <c r="P60" i="10"/>
  <c r="Q59" i="13"/>
  <c r="Q58" i="17"/>
  <c r="Q58" i="20"/>
  <c r="Q60" i="20"/>
  <c r="S45" i="11"/>
  <c r="J46" i="7"/>
  <c r="S45" i="7"/>
  <c r="P58" i="17"/>
  <c r="P61" i="10"/>
  <c r="S47" i="11"/>
  <c r="J47" i="11"/>
  <c r="Q61" i="17"/>
  <c r="S48" i="7"/>
  <c r="S45" i="10"/>
  <c r="S47" i="10"/>
  <c r="P59" i="10"/>
  <c r="J46" i="5"/>
  <c r="P59" i="5"/>
  <c r="S48" i="5"/>
  <c r="J48" i="5"/>
  <c r="P61" i="5"/>
  <c r="Q59" i="17"/>
  <c r="P61" i="12"/>
  <c r="Q58" i="13"/>
  <c r="S46" i="10"/>
  <c r="P59" i="20"/>
  <c r="Q59" i="18"/>
  <c r="P60" i="5"/>
  <c r="P61" i="20"/>
  <c r="P60" i="11"/>
  <c r="J47" i="5"/>
  <c r="Q60" i="19"/>
  <c r="J45" i="11"/>
  <c r="J48" i="10"/>
  <c r="Q61" i="18"/>
  <c r="P59" i="19"/>
  <c r="Q61" i="7"/>
  <c r="S47" i="7"/>
  <c r="P61" i="11"/>
  <c r="J48" i="7"/>
  <c r="S48" i="11"/>
  <c r="S48" i="10"/>
  <c r="P58" i="12"/>
  <c r="P58" i="20"/>
  <c r="P59" i="12"/>
  <c r="P60" i="12"/>
  <c r="J45" i="7"/>
  <c r="Q61" i="13"/>
  <c r="Q59" i="12"/>
  <c r="S46" i="11"/>
  <c r="S47" i="5"/>
  <c r="Q61" i="19"/>
  <c r="J45" i="5"/>
  <c r="P60" i="20"/>
  <c r="S46" i="7"/>
  <c r="Q59" i="20"/>
  <c r="J46" i="10"/>
  <c r="J45" i="10"/>
  <c r="Q58" i="18"/>
  <c r="Q60" i="13"/>
  <c r="Q59" i="19"/>
  <c r="Q60" i="17"/>
  <c r="J47" i="7"/>
  <c r="J48" i="11"/>
  <c r="Q58" i="19"/>
  <c r="J47" i="10"/>
  <c r="P58" i="19"/>
  <c r="Q60" i="18"/>
  <c r="J46" i="11"/>
  <c r="S45" i="5"/>
  <c r="S46" i="5"/>
  <c r="Q58" i="12"/>
  <c r="R60" i="17" l="1"/>
  <c r="I60" i="17" s="1"/>
  <c r="R61" i="19"/>
  <c r="I61" i="19" s="1"/>
  <c r="R61" i="12"/>
  <c r="I61" i="12" s="1"/>
  <c r="R60" i="13"/>
  <c r="I60" i="13" s="1"/>
  <c r="R60" i="18"/>
  <c r="I60" i="18" s="1"/>
  <c r="R60" i="19"/>
  <c r="I60" i="19" s="1"/>
  <c r="R61" i="20"/>
  <c r="I61" i="20" s="1"/>
  <c r="R60" i="20"/>
  <c r="I60" i="20" s="1"/>
  <c r="R61" i="13"/>
  <c r="I61" i="13" s="1"/>
  <c r="R61" i="17"/>
  <c r="I61" i="17" s="1"/>
  <c r="R61" i="18"/>
  <c r="I61" i="18" s="1"/>
  <c r="R60" i="12"/>
  <c r="I60" i="12" s="1"/>
  <c r="R59" i="20"/>
  <c r="I59" i="20" s="1"/>
  <c r="R58" i="20"/>
  <c r="I58" i="20" s="1"/>
  <c r="R59" i="19"/>
  <c r="I59" i="19" s="1"/>
  <c r="R58" i="19"/>
  <c r="I58" i="19" s="1"/>
  <c r="R59" i="18"/>
  <c r="I59" i="18" s="1"/>
  <c r="R58" i="18"/>
  <c r="I58" i="18" s="1"/>
  <c r="R59" i="17"/>
  <c r="I59" i="17" s="1"/>
  <c r="R58" i="17"/>
  <c r="I58" i="17" s="1"/>
  <c r="R59" i="13"/>
  <c r="I59" i="13" s="1"/>
  <c r="R58" i="13"/>
  <c r="I58" i="13" s="1"/>
  <c r="R59" i="12"/>
  <c r="I59" i="12" s="1"/>
  <c r="R58" i="12"/>
  <c r="I58" i="12" s="1"/>
  <c r="O63" i="2"/>
  <c r="N63" i="2"/>
  <c r="O47" i="10"/>
  <c r="N45" i="10"/>
  <c r="O48" i="10"/>
  <c r="O48" i="11"/>
  <c r="N46" i="11"/>
  <c r="L48" i="11"/>
  <c r="K48" i="11"/>
  <c r="O47" i="11"/>
  <c r="L47" i="11"/>
  <c r="K47" i="11"/>
  <c r="O45" i="11"/>
  <c r="L46" i="11"/>
  <c r="K46" i="11"/>
  <c r="L45" i="11"/>
  <c r="K45" i="11"/>
  <c r="L48" i="10"/>
  <c r="K48" i="10"/>
  <c r="L47" i="10"/>
  <c r="K47" i="10"/>
  <c r="O46" i="10"/>
  <c r="L46" i="10"/>
  <c r="K46" i="10"/>
  <c r="K45" i="10"/>
  <c r="L45" i="10"/>
  <c r="O48" i="5"/>
  <c r="O47" i="5"/>
  <c r="N45" i="5"/>
  <c r="L48" i="5"/>
  <c r="K48" i="5"/>
  <c r="L47" i="5"/>
  <c r="K47" i="5"/>
  <c r="L46" i="5"/>
  <c r="K46" i="5"/>
  <c r="O46" i="5"/>
  <c r="L45" i="5"/>
  <c r="K45" i="5"/>
  <c r="N48" i="7"/>
  <c r="N46" i="7"/>
  <c r="L48" i="7"/>
  <c r="K48" i="7"/>
  <c r="O47" i="7"/>
  <c r="L47" i="7"/>
  <c r="K47" i="7"/>
  <c r="O45" i="7"/>
  <c r="L46" i="7"/>
  <c r="K46" i="7"/>
  <c r="L45" i="7"/>
  <c r="K45" i="7"/>
  <c r="O62" i="2"/>
  <c r="N61" i="2"/>
  <c r="N62" i="2"/>
  <c r="O61" i="2"/>
  <c r="O59" i="2"/>
  <c r="O60" i="2"/>
  <c r="N60" i="2"/>
  <c r="O58" i="2"/>
  <c r="N59" i="2"/>
  <c r="S74" i="25"/>
  <c r="N58" i="2"/>
  <c r="Q61" i="10"/>
  <c r="Q58" i="11"/>
  <c r="Q58" i="10"/>
  <c r="P58" i="5"/>
  <c r="P58" i="7"/>
  <c r="Q61" i="11"/>
  <c r="P58" i="11"/>
  <c r="Q60" i="5"/>
  <c r="Q59" i="7"/>
  <c r="Q58" i="7"/>
  <c r="P61" i="7"/>
  <c r="Q59" i="5"/>
  <c r="P60" i="7"/>
  <c r="Q59" i="11"/>
  <c r="Q60" i="7"/>
  <c r="Q58" i="5"/>
  <c r="Q61" i="5"/>
  <c r="Q60" i="11"/>
  <c r="Q60" i="10"/>
  <c r="Q59" i="10"/>
  <c r="P59" i="11"/>
  <c r="P58" i="10"/>
  <c r="P59" i="7"/>
  <c r="R61" i="5" l="1"/>
  <c r="I61" i="5" s="1"/>
  <c r="R60" i="11"/>
  <c r="I60" i="11" s="1"/>
  <c r="R61" i="11"/>
  <c r="I61" i="11" s="1"/>
  <c r="R61" i="10"/>
  <c r="I61" i="10" s="1"/>
  <c r="R60" i="10"/>
  <c r="I60" i="10" s="1"/>
  <c r="R60" i="5"/>
  <c r="I60" i="5" s="1"/>
  <c r="R61" i="7"/>
  <c r="I61" i="7" s="1"/>
  <c r="R60" i="7"/>
  <c r="I60" i="7" s="1"/>
  <c r="R59" i="11"/>
  <c r="I59" i="11" s="1"/>
  <c r="R58" i="11"/>
  <c r="I58" i="11" s="1"/>
  <c r="R59" i="10"/>
  <c r="I59" i="10" s="1"/>
  <c r="R58" i="10"/>
  <c r="I58" i="10" s="1"/>
  <c r="R59" i="5"/>
  <c r="I59" i="5" s="1"/>
  <c r="R58" i="5"/>
  <c r="I58" i="5" s="1"/>
  <c r="R59" i="7"/>
  <c r="I59" i="7" s="1"/>
  <c r="R58" i="7"/>
  <c r="I58" i="7" s="1"/>
  <c r="AH5" i="4"/>
  <c r="J22" i="4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H11" i="16"/>
  <c r="B22" i="4"/>
  <c r="C22" i="4"/>
  <c r="D22" i="4"/>
  <c r="E22" i="4"/>
  <c r="F22" i="4"/>
  <c r="G22" i="4"/>
  <c r="H22" i="4"/>
  <c r="I22" i="4"/>
  <c r="B21" i="4"/>
  <c r="C21" i="4"/>
  <c r="D21" i="4"/>
  <c r="E21" i="4"/>
  <c r="F21" i="4"/>
  <c r="G21" i="4"/>
  <c r="H21" i="4"/>
  <c r="I21" i="4"/>
  <c r="B20" i="4"/>
  <c r="C20" i="4"/>
  <c r="D20" i="4"/>
  <c r="E20" i="4"/>
  <c r="F20" i="4"/>
  <c r="G20" i="4"/>
  <c r="H20" i="4"/>
  <c r="I20" i="4"/>
  <c r="J20" i="4"/>
  <c r="B19" i="4"/>
  <c r="C19" i="4"/>
  <c r="D19" i="4"/>
  <c r="E19" i="4"/>
  <c r="F19" i="4"/>
  <c r="G19" i="4"/>
  <c r="H19" i="4"/>
  <c r="I19" i="4"/>
  <c r="J19" i="4"/>
  <c r="B18" i="4"/>
  <c r="C18" i="4"/>
  <c r="D18" i="4"/>
  <c r="E18" i="4"/>
  <c r="F18" i="4"/>
  <c r="G18" i="4"/>
  <c r="H18" i="4"/>
  <c r="I18" i="4"/>
  <c r="J18" i="4"/>
  <c r="B17" i="4"/>
  <c r="C17" i="4"/>
  <c r="D17" i="4"/>
  <c r="E17" i="4"/>
  <c r="F17" i="4"/>
  <c r="G17" i="4"/>
  <c r="H17" i="4"/>
  <c r="I17" i="4"/>
  <c r="J17" i="4"/>
  <c r="B16" i="4"/>
  <c r="C16" i="4"/>
  <c r="D16" i="4"/>
  <c r="E16" i="4"/>
  <c r="F16" i="4"/>
  <c r="G16" i="4"/>
  <c r="H16" i="4"/>
  <c r="I16" i="4"/>
  <c r="J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P57" i="20"/>
  <c r="J44" i="5"/>
  <c r="J39" i="19"/>
  <c r="S42" i="10"/>
  <c r="J43" i="17"/>
  <c r="J44" i="18"/>
  <c r="J38" i="10"/>
  <c r="S44" i="20"/>
  <c r="J44" i="19"/>
  <c r="J42" i="18"/>
  <c r="J42" i="12"/>
  <c r="S41" i="12"/>
  <c r="S44" i="11"/>
  <c r="J44" i="20"/>
  <c r="P57" i="18"/>
  <c r="S41" i="5"/>
  <c r="S39" i="18"/>
  <c r="J39" i="12"/>
  <c r="P54" i="10"/>
  <c r="S44" i="18"/>
  <c r="J40" i="18"/>
  <c r="J38" i="7"/>
  <c r="S41" i="19"/>
  <c r="P57" i="10"/>
  <c r="P55" i="10"/>
  <c r="P57" i="7"/>
  <c r="S43" i="19"/>
  <c r="S39" i="7"/>
  <c r="J39" i="7"/>
  <c r="J44" i="11"/>
  <c r="P53" i="12"/>
  <c r="P55" i="18"/>
  <c r="P57" i="13"/>
  <c r="J40" i="19"/>
  <c r="S43" i="11"/>
  <c r="S39" i="5"/>
  <c r="S39" i="20"/>
  <c r="S43" i="7"/>
  <c r="S43" i="10"/>
  <c r="J40" i="17"/>
  <c r="S41" i="7"/>
  <c r="S40" i="5"/>
  <c r="S40" i="12"/>
  <c r="S40" i="19"/>
  <c r="S43" i="12"/>
  <c r="S40" i="17"/>
  <c r="J41" i="11"/>
  <c r="S44" i="7"/>
  <c r="P56" i="11"/>
  <c r="S41" i="11"/>
  <c r="J42" i="5"/>
  <c r="J38" i="17"/>
  <c r="S41" i="17"/>
  <c r="J43" i="7"/>
  <c r="S43" i="18"/>
  <c r="J43" i="12"/>
  <c r="S44" i="12"/>
  <c r="J39" i="18"/>
  <c r="S41" i="18"/>
  <c r="P51" i="18"/>
  <c r="J41" i="12"/>
  <c r="J41" i="17"/>
  <c r="J41" i="18"/>
  <c r="S44" i="19"/>
  <c r="P53" i="11"/>
  <c r="J39" i="11"/>
  <c r="S41" i="10"/>
  <c r="S39" i="13"/>
  <c r="S43" i="13"/>
  <c r="S43" i="17"/>
  <c r="S39" i="10"/>
  <c r="S38" i="11"/>
  <c r="J43" i="5"/>
  <c r="J41" i="20"/>
  <c r="J43" i="10"/>
  <c r="J42" i="17"/>
  <c r="S39" i="17"/>
  <c r="S43" i="20"/>
  <c r="P53" i="19"/>
  <c r="J42" i="20"/>
  <c r="J40" i="10"/>
  <c r="S40" i="10"/>
  <c r="S39" i="12"/>
  <c r="P56" i="18"/>
  <c r="J42" i="10"/>
  <c r="J44" i="12"/>
  <c r="J38" i="13"/>
  <c r="P56" i="5"/>
  <c r="J39" i="13"/>
  <c r="S42" i="5"/>
  <c r="J42" i="19"/>
  <c r="S40" i="18"/>
  <c r="J38" i="18"/>
  <c r="P54" i="13"/>
  <c r="J43" i="11"/>
  <c r="S38" i="17"/>
  <c r="P56" i="10"/>
  <c r="J40" i="7"/>
  <c r="J38" i="11"/>
  <c r="S44" i="10"/>
  <c r="P51" i="19"/>
  <c r="P57" i="11"/>
  <c r="P54" i="11"/>
  <c r="P54" i="12"/>
  <c r="P57" i="19"/>
  <c r="P55" i="17"/>
  <c r="J40" i="12"/>
  <c r="J42" i="13"/>
  <c r="P54" i="17"/>
  <c r="P55" i="19"/>
  <c r="P52" i="12"/>
  <c r="S40" i="20"/>
  <c r="S42" i="7"/>
  <c r="J39" i="20"/>
  <c r="P56" i="12"/>
  <c r="S42" i="18"/>
  <c r="J44" i="13"/>
  <c r="J38" i="19"/>
  <c r="S42" i="13"/>
  <c r="S44" i="5"/>
  <c r="J44" i="10"/>
  <c r="S38" i="20"/>
  <c r="S42" i="11"/>
  <c r="P56" i="17"/>
  <c r="S38" i="7"/>
  <c r="J39" i="17"/>
  <c r="S39" i="11"/>
  <c r="S38" i="19"/>
  <c r="S44" i="13"/>
  <c r="J43" i="13"/>
  <c r="P54" i="19"/>
  <c r="J40" i="5"/>
  <c r="S42" i="19"/>
  <c r="J44" i="17"/>
  <c r="J38" i="5"/>
  <c r="S40" i="11"/>
  <c r="P52" i="19"/>
  <c r="J38" i="20"/>
  <c r="J43" i="20"/>
  <c r="J39" i="5"/>
  <c r="S39" i="19"/>
  <c r="S38" i="12"/>
  <c r="P57" i="17"/>
  <c r="P55" i="20"/>
  <c r="J43" i="18"/>
  <c r="P55" i="12"/>
  <c r="J40" i="13"/>
  <c r="J38" i="12"/>
  <c r="S38" i="18"/>
  <c r="P52" i="18"/>
  <c r="J39" i="10"/>
  <c r="P56" i="20"/>
  <c r="J42" i="11"/>
  <c r="S40" i="7"/>
  <c r="P54" i="20"/>
  <c r="S38" i="10"/>
  <c r="S42" i="20"/>
  <c r="S43" i="5"/>
  <c r="P55" i="11"/>
  <c r="P57" i="5"/>
  <c r="P53" i="18"/>
  <c r="S41" i="13"/>
  <c r="J41" i="19"/>
  <c r="J41" i="5"/>
  <c r="J43" i="19"/>
  <c r="J41" i="13"/>
  <c r="S42" i="12"/>
  <c r="P56" i="19"/>
  <c r="S44" i="17"/>
  <c r="P55" i="13"/>
  <c r="S38" i="13"/>
  <c r="P54" i="18"/>
  <c r="S41" i="20"/>
  <c r="P57" i="12"/>
  <c r="J41" i="10"/>
  <c r="S42" i="17"/>
  <c r="S40" i="13"/>
  <c r="J40" i="20"/>
  <c r="J41" i="7"/>
  <c r="J40" i="11"/>
  <c r="S38" i="5"/>
  <c r="J42" i="7"/>
  <c r="P56" i="13"/>
  <c r="J44" i="7"/>
  <c r="N57" i="2" l="1"/>
  <c r="O44" i="17"/>
  <c r="O57" i="2"/>
  <c r="O44" i="20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B13" i="4"/>
  <c r="C13" i="4"/>
  <c r="D13" i="4"/>
  <c r="E13" i="4"/>
  <c r="F13" i="4"/>
  <c r="G13" i="4"/>
  <c r="H13" i="4"/>
  <c r="I13" i="4"/>
  <c r="J13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4" i="4"/>
  <c r="C14" i="4"/>
  <c r="D14" i="4"/>
  <c r="E14" i="4"/>
  <c r="F14" i="4"/>
  <c r="G14" i="4"/>
  <c r="H14" i="4"/>
  <c r="I14" i="4"/>
  <c r="J14" i="4"/>
  <c r="B101" i="2"/>
  <c r="Q57" i="20"/>
  <c r="Q51" i="11"/>
  <c r="Q56" i="10"/>
  <c r="Q54" i="18"/>
  <c r="P53" i="5"/>
  <c r="Q53" i="13"/>
  <c r="P51" i="20"/>
  <c r="Q52" i="18"/>
  <c r="Q52" i="5"/>
  <c r="P52" i="13"/>
  <c r="P52" i="7"/>
  <c r="Q57" i="7"/>
  <c r="P51" i="7"/>
  <c r="Q55" i="7"/>
  <c r="Q57" i="12"/>
  <c r="Q51" i="19"/>
  <c r="P51" i="11"/>
  <c r="Q55" i="18"/>
  <c r="P56" i="7"/>
  <c r="Q52" i="17"/>
  <c r="Q52" i="7"/>
  <c r="P51" i="10"/>
  <c r="Q55" i="11"/>
  <c r="S37" i="10"/>
  <c r="P51" i="17"/>
  <c r="Q57" i="5"/>
  <c r="Q55" i="10"/>
  <c r="Q56" i="12"/>
  <c r="P51" i="5"/>
  <c r="Q54" i="5"/>
  <c r="Q53" i="5"/>
  <c r="Q56" i="7"/>
  <c r="Q57" i="18"/>
  <c r="Q53" i="10"/>
  <c r="Q51" i="18"/>
  <c r="P52" i="11"/>
  <c r="S33" i="10"/>
  <c r="Q51" i="5"/>
  <c r="Q53" i="12"/>
  <c r="P54" i="7"/>
  <c r="P53" i="20"/>
  <c r="P51" i="12"/>
  <c r="P53" i="7"/>
  <c r="Q55" i="5"/>
  <c r="Q53" i="18"/>
  <c r="P52" i="17"/>
  <c r="Q53" i="7"/>
  <c r="Q51" i="10"/>
  <c r="Q56" i="17"/>
  <c r="P53" i="10"/>
  <c r="Q55" i="13"/>
  <c r="Q52" i="11"/>
  <c r="Q54" i="20"/>
  <c r="Q52" i="20"/>
  <c r="Q52" i="19"/>
  <c r="Q56" i="11"/>
  <c r="Q56" i="5"/>
  <c r="Q54" i="13"/>
  <c r="Q51" i="7"/>
  <c r="Q51" i="17"/>
  <c r="Q55" i="20"/>
  <c r="Q55" i="12"/>
  <c r="Q56" i="20"/>
  <c r="Q51" i="20"/>
  <c r="Q56" i="18"/>
  <c r="Q53" i="17"/>
  <c r="Q57" i="11"/>
  <c r="Q56" i="19"/>
  <c r="P53" i="17"/>
  <c r="P52" i="10"/>
  <c r="Q55" i="17"/>
  <c r="Q51" i="13"/>
  <c r="Q54" i="12"/>
  <c r="Q57" i="19"/>
  <c r="Q52" i="13"/>
  <c r="Q54" i="19"/>
  <c r="Q52" i="10"/>
  <c r="P52" i="5"/>
  <c r="P55" i="7"/>
  <c r="Q52" i="12"/>
  <c r="Q57" i="17"/>
  <c r="Q54" i="10"/>
  <c r="Q53" i="20"/>
  <c r="Q51" i="12"/>
  <c r="P52" i="20"/>
  <c r="Q54" i="11"/>
  <c r="Q54" i="7"/>
  <c r="Q57" i="13"/>
  <c r="P54" i="5"/>
  <c r="Q55" i="19"/>
  <c r="P53" i="13"/>
  <c r="Q56" i="13"/>
  <c r="P51" i="13"/>
  <c r="Q53" i="19"/>
  <c r="Q57" i="10"/>
  <c r="P55" i="5"/>
  <c r="Q54" i="17"/>
  <c r="Q53" i="11"/>
  <c r="R57" i="20" l="1"/>
  <c r="I57" i="20" s="1"/>
  <c r="R56" i="20"/>
  <c r="I56" i="20" s="1"/>
  <c r="R55" i="20"/>
  <c r="I55" i="20" s="1"/>
  <c r="R57" i="19"/>
  <c r="I57" i="19" s="1"/>
  <c r="R56" i="19"/>
  <c r="I56" i="19" s="1"/>
  <c r="R55" i="19"/>
  <c r="I55" i="19" s="1"/>
  <c r="R57" i="18"/>
  <c r="I57" i="18" s="1"/>
  <c r="R56" i="18"/>
  <c r="I56" i="18" s="1"/>
  <c r="R55" i="18"/>
  <c r="I55" i="18" s="1"/>
  <c r="R57" i="17"/>
  <c r="I57" i="17" s="1"/>
  <c r="R56" i="17"/>
  <c r="I56" i="17" s="1"/>
  <c r="R55" i="17"/>
  <c r="I55" i="17" s="1"/>
  <c r="R57" i="13"/>
  <c r="I57" i="13" s="1"/>
  <c r="R56" i="13"/>
  <c r="I56" i="13" s="1"/>
  <c r="R55" i="13"/>
  <c r="I55" i="13" s="1"/>
  <c r="R57" i="12"/>
  <c r="I57" i="12" s="1"/>
  <c r="R56" i="12"/>
  <c r="I56" i="12" s="1"/>
  <c r="R55" i="12"/>
  <c r="I55" i="12" s="1"/>
  <c r="R57" i="11"/>
  <c r="I57" i="11" s="1"/>
  <c r="R56" i="11"/>
  <c r="I56" i="11" s="1"/>
  <c r="R55" i="11"/>
  <c r="I55" i="11" s="1"/>
  <c r="R57" i="10"/>
  <c r="I57" i="10" s="1"/>
  <c r="R56" i="10"/>
  <c r="I56" i="10" s="1"/>
  <c r="R55" i="10"/>
  <c r="I55" i="10" s="1"/>
  <c r="R57" i="5"/>
  <c r="I57" i="5" s="1"/>
  <c r="R56" i="5"/>
  <c r="I56" i="5" s="1"/>
  <c r="R55" i="5"/>
  <c r="I55" i="5" s="1"/>
  <c r="R57" i="7"/>
  <c r="I57" i="7" s="1"/>
  <c r="R56" i="7"/>
  <c r="I56" i="7" s="1"/>
  <c r="R55" i="7"/>
  <c r="I55" i="7" s="1"/>
  <c r="R54" i="20"/>
  <c r="I54" i="20" s="1"/>
  <c r="R53" i="20"/>
  <c r="I53" i="20" s="1"/>
  <c r="R52" i="20"/>
  <c r="I52" i="20" s="1"/>
  <c r="R51" i="20"/>
  <c r="I51" i="20" s="1"/>
  <c r="R54" i="19"/>
  <c r="I54" i="19" s="1"/>
  <c r="R53" i="19"/>
  <c r="I53" i="19" s="1"/>
  <c r="R52" i="19"/>
  <c r="I52" i="19" s="1"/>
  <c r="R51" i="19"/>
  <c r="I51" i="19" s="1"/>
  <c r="R54" i="18"/>
  <c r="I54" i="18" s="1"/>
  <c r="R53" i="18"/>
  <c r="I53" i="18" s="1"/>
  <c r="R52" i="18"/>
  <c r="I52" i="18" s="1"/>
  <c r="R51" i="18"/>
  <c r="I51" i="18" s="1"/>
  <c r="R54" i="17"/>
  <c r="I54" i="17" s="1"/>
  <c r="R53" i="17"/>
  <c r="I53" i="17" s="1"/>
  <c r="R52" i="17"/>
  <c r="I52" i="17" s="1"/>
  <c r="R51" i="17"/>
  <c r="I51" i="17" s="1"/>
  <c r="R54" i="13"/>
  <c r="I54" i="13" s="1"/>
  <c r="R53" i="13"/>
  <c r="I53" i="13" s="1"/>
  <c r="R52" i="13"/>
  <c r="I52" i="13" s="1"/>
  <c r="R51" i="13"/>
  <c r="I51" i="13" s="1"/>
  <c r="R54" i="12"/>
  <c r="I54" i="12" s="1"/>
  <c r="R53" i="12"/>
  <c r="I53" i="12" s="1"/>
  <c r="R52" i="12"/>
  <c r="I52" i="12" s="1"/>
  <c r="R51" i="12"/>
  <c r="I51" i="12" s="1"/>
  <c r="R54" i="11"/>
  <c r="I54" i="11" s="1"/>
  <c r="R53" i="11"/>
  <c r="I53" i="11" s="1"/>
  <c r="R52" i="11"/>
  <c r="I52" i="11" s="1"/>
  <c r="R51" i="11"/>
  <c r="I51" i="11" s="1"/>
  <c r="R54" i="10"/>
  <c r="I54" i="10" s="1"/>
  <c r="R53" i="10"/>
  <c r="I53" i="10" s="1"/>
  <c r="R52" i="10"/>
  <c r="I52" i="10" s="1"/>
  <c r="R51" i="10"/>
  <c r="I51" i="10" s="1"/>
  <c r="R54" i="5"/>
  <c r="I54" i="5" s="1"/>
  <c r="R53" i="5"/>
  <c r="I53" i="5" s="1"/>
  <c r="R52" i="5"/>
  <c r="I52" i="5" s="1"/>
  <c r="R51" i="5"/>
  <c r="I51" i="5" s="1"/>
  <c r="R54" i="7"/>
  <c r="I54" i="7" s="1"/>
  <c r="R53" i="7"/>
  <c r="I53" i="7" s="1"/>
  <c r="R52" i="7"/>
  <c r="I52" i="7" s="1"/>
  <c r="R51" i="7"/>
  <c r="I51" i="7" s="1"/>
  <c r="AH8" i="16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Q47" i="17"/>
  <c r="S36" i="18"/>
  <c r="J37" i="11"/>
  <c r="Q47" i="18"/>
  <c r="J36" i="13"/>
  <c r="J37" i="20"/>
  <c r="P50" i="10"/>
  <c r="Q48" i="18"/>
  <c r="P49" i="7"/>
  <c r="P50" i="7"/>
  <c r="J33" i="20"/>
  <c r="J34" i="17"/>
  <c r="P50" i="13"/>
  <c r="P50" i="11"/>
  <c r="Q49" i="19"/>
  <c r="J37" i="17"/>
  <c r="S37" i="18"/>
  <c r="J33" i="17"/>
  <c r="J37" i="10"/>
  <c r="J34" i="18"/>
  <c r="S36" i="5"/>
  <c r="J37" i="13"/>
  <c r="Q49" i="18"/>
  <c r="Q50" i="19"/>
  <c r="Q50" i="20"/>
  <c r="J35" i="18"/>
  <c r="S36" i="10"/>
  <c r="J36" i="10"/>
  <c r="P49" i="12"/>
  <c r="S33" i="18"/>
  <c r="S33" i="19"/>
  <c r="Q49" i="17"/>
  <c r="S34" i="18"/>
  <c r="S36" i="19"/>
  <c r="S35" i="17"/>
  <c r="Q46" i="19"/>
  <c r="P49" i="5"/>
  <c r="S34" i="20"/>
  <c r="J36" i="20"/>
  <c r="P49" i="10"/>
  <c r="J36" i="11"/>
  <c r="Q48" i="20"/>
  <c r="J37" i="7"/>
  <c r="P50" i="12"/>
  <c r="Q48" i="19"/>
  <c r="Q46" i="17"/>
  <c r="J37" i="5"/>
  <c r="S36" i="11"/>
  <c r="Q47" i="19"/>
  <c r="S37" i="17"/>
  <c r="S33" i="20"/>
  <c r="S36" i="17"/>
  <c r="J37" i="19"/>
  <c r="P49" i="13"/>
  <c r="S36" i="12"/>
  <c r="J37" i="12"/>
  <c r="S36" i="7"/>
  <c r="S37" i="19"/>
  <c r="P50" i="5"/>
  <c r="J36" i="5"/>
  <c r="S35" i="20"/>
  <c r="Q48" i="17"/>
  <c r="J34" i="20"/>
  <c r="S37" i="5"/>
  <c r="J36" i="17"/>
  <c r="Q50" i="17"/>
  <c r="S37" i="7"/>
  <c r="S34" i="17"/>
  <c r="S35" i="18"/>
  <c r="J35" i="20"/>
  <c r="J36" i="18"/>
  <c r="S35" i="19"/>
  <c r="Q46" i="18"/>
  <c r="J35" i="19"/>
  <c r="J36" i="12"/>
  <c r="S36" i="20"/>
  <c r="S36" i="13"/>
  <c r="J34" i="19"/>
  <c r="Q50" i="18"/>
  <c r="S37" i="13"/>
  <c r="S33" i="17"/>
  <c r="S37" i="20"/>
  <c r="P49" i="11"/>
  <c r="S34" i="19"/>
  <c r="J37" i="18"/>
  <c r="S37" i="11"/>
  <c r="J36" i="19"/>
  <c r="J33" i="19"/>
  <c r="J35" i="17"/>
  <c r="Q49" i="20"/>
  <c r="S37" i="12"/>
  <c r="J33" i="18"/>
  <c r="J36" i="7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P50" i="17"/>
  <c r="S34" i="13"/>
  <c r="J35" i="11"/>
  <c r="P48" i="17"/>
  <c r="P48" i="19"/>
  <c r="P47" i="11"/>
  <c r="P49" i="17"/>
  <c r="Q47" i="20"/>
  <c r="Q49" i="13"/>
  <c r="Q50" i="13"/>
  <c r="J33" i="12"/>
  <c r="J35" i="13"/>
  <c r="Q49" i="12"/>
  <c r="P48" i="18"/>
  <c r="J34" i="11"/>
  <c r="Q50" i="11"/>
  <c r="P46" i="20"/>
  <c r="Q50" i="10"/>
  <c r="S35" i="11"/>
  <c r="P47" i="19"/>
  <c r="S35" i="13"/>
  <c r="P46" i="11"/>
  <c r="S33" i="11"/>
  <c r="Q46" i="20"/>
  <c r="Q48" i="12"/>
  <c r="P49" i="20"/>
  <c r="Q50" i="7"/>
  <c r="Q48" i="13"/>
  <c r="P46" i="17"/>
  <c r="P46" i="18"/>
  <c r="P50" i="18"/>
  <c r="S34" i="11"/>
  <c r="P49" i="19"/>
  <c r="J33" i="11"/>
  <c r="P46" i="19"/>
  <c r="J34" i="12"/>
  <c r="P48" i="11"/>
  <c r="J35" i="12"/>
  <c r="S34" i="12"/>
  <c r="Q49" i="11"/>
  <c r="Q50" i="5"/>
  <c r="J33" i="13"/>
  <c r="P50" i="19"/>
  <c r="S33" i="13"/>
  <c r="Q49" i="5"/>
  <c r="P50" i="20"/>
  <c r="S33" i="12"/>
  <c r="P47" i="20"/>
  <c r="P49" i="18"/>
  <c r="P48" i="20"/>
  <c r="Q49" i="10"/>
  <c r="P47" i="18"/>
  <c r="Q49" i="7"/>
  <c r="Q50" i="12"/>
  <c r="S35" i="12"/>
  <c r="P47" i="17"/>
  <c r="J34" i="13"/>
  <c r="R50" i="20" l="1"/>
  <c r="I50" i="20" s="1"/>
  <c r="R50" i="19"/>
  <c r="I50" i="19" s="1"/>
  <c r="R50" i="18"/>
  <c r="I50" i="18" s="1"/>
  <c r="R50" i="17"/>
  <c r="I50" i="17" s="1"/>
  <c r="R50" i="13"/>
  <c r="I50" i="13" s="1"/>
  <c r="R50" i="12"/>
  <c r="I50" i="12" s="1"/>
  <c r="R50" i="11"/>
  <c r="I50" i="11" s="1"/>
  <c r="R50" i="10"/>
  <c r="I50" i="10" s="1"/>
  <c r="R50" i="5"/>
  <c r="I50" i="5" s="1"/>
  <c r="R50" i="7"/>
  <c r="I50" i="7" s="1"/>
  <c r="R49" i="20"/>
  <c r="I49" i="20" s="1"/>
  <c r="R49" i="19"/>
  <c r="I49" i="19" s="1"/>
  <c r="R49" i="18"/>
  <c r="I49" i="18" s="1"/>
  <c r="R49" i="17"/>
  <c r="I49" i="17" s="1"/>
  <c r="R49" i="13"/>
  <c r="I49" i="13" s="1"/>
  <c r="R49" i="12"/>
  <c r="I49" i="12" s="1"/>
  <c r="R49" i="11"/>
  <c r="I49" i="11" s="1"/>
  <c r="R49" i="10"/>
  <c r="I49" i="10" s="1"/>
  <c r="R49" i="5"/>
  <c r="I49" i="5" s="1"/>
  <c r="R49" i="7"/>
  <c r="I49" i="7" s="1"/>
  <c r="R48" i="20"/>
  <c r="I48" i="20" s="1"/>
  <c r="R47" i="20"/>
  <c r="I47" i="20" s="1"/>
  <c r="R46" i="20"/>
  <c r="I46" i="20" s="1"/>
  <c r="R48" i="19"/>
  <c r="I48" i="19" s="1"/>
  <c r="R47" i="19"/>
  <c r="I47" i="19" s="1"/>
  <c r="R46" i="19"/>
  <c r="I46" i="19" s="1"/>
  <c r="R48" i="18"/>
  <c r="I48" i="18" s="1"/>
  <c r="R47" i="18"/>
  <c r="I47" i="18" s="1"/>
  <c r="R46" i="18"/>
  <c r="I46" i="18" s="1"/>
  <c r="R48" i="17"/>
  <c r="I48" i="17" s="1"/>
  <c r="R47" i="17"/>
  <c r="I47" i="17" s="1"/>
  <c r="R46" i="17"/>
  <c r="I46" i="17" s="1"/>
  <c r="N35" i="13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Q46" i="12"/>
  <c r="J33" i="10"/>
  <c r="S34" i="5"/>
  <c r="J34" i="5"/>
  <c r="P48" i="12"/>
  <c r="Q48" i="11"/>
  <c r="P47" i="5"/>
  <c r="J35" i="5"/>
  <c r="P47" i="12"/>
  <c r="J35" i="7"/>
  <c r="Q46" i="11"/>
  <c r="J33" i="7"/>
  <c r="Q46" i="13"/>
  <c r="S35" i="10"/>
  <c r="S34" i="7"/>
  <c r="S35" i="5"/>
  <c r="P46" i="10"/>
  <c r="P46" i="12"/>
  <c r="J35" i="10"/>
  <c r="Q47" i="13"/>
  <c r="S34" i="10"/>
  <c r="P48" i="7"/>
  <c r="P46" i="7"/>
  <c r="P47" i="7"/>
  <c r="P46" i="5"/>
  <c r="S33" i="5"/>
  <c r="Q47" i="11"/>
  <c r="S33" i="7"/>
  <c r="J34" i="10"/>
  <c r="P48" i="5"/>
  <c r="Q47" i="12"/>
  <c r="P47" i="13"/>
  <c r="J33" i="5"/>
  <c r="P46" i="13"/>
  <c r="J34" i="7"/>
  <c r="S35" i="7"/>
  <c r="P48" i="10"/>
  <c r="P48" i="13"/>
  <c r="P47" i="10"/>
  <c r="R48" i="13" l="1"/>
  <c r="I48" i="13" s="1"/>
  <c r="R47" i="13"/>
  <c r="I47" i="13" s="1"/>
  <c r="R46" i="13"/>
  <c r="I46" i="13" s="1"/>
  <c r="R48" i="12"/>
  <c r="I48" i="12" s="1"/>
  <c r="R47" i="12"/>
  <c r="I47" i="12" s="1"/>
  <c r="R46" i="12"/>
  <c r="I46" i="12" s="1"/>
  <c r="R48" i="11"/>
  <c r="I48" i="11" s="1"/>
  <c r="R47" i="11"/>
  <c r="I47" i="11" s="1"/>
  <c r="R46" i="11"/>
  <c r="I46" i="11" s="1"/>
  <c r="O35" i="5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Q47" i="10"/>
  <c r="Q48" i="7"/>
  <c r="Q46" i="7"/>
  <c r="Q48" i="5"/>
  <c r="Q47" i="7"/>
  <c r="Q46" i="10"/>
  <c r="Q47" i="5"/>
  <c r="Q48" i="10"/>
  <c r="Q46" i="5"/>
  <c r="R48" i="10" l="1"/>
  <c r="I48" i="10" s="1"/>
  <c r="R47" i="10"/>
  <c r="I47" i="10" s="1"/>
  <c r="R46" i="10"/>
  <c r="I46" i="10" s="1"/>
  <c r="R48" i="5"/>
  <c r="I48" i="5" s="1"/>
  <c r="R47" i="5"/>
  <c r="I47" i="5" s="1"/>
  <c r="R46" i="5"/>
  <c r="I46" i="5" s="1"/>
  <c r="R48" i="7"/>
  <c r="I48" i="7" s="1"/>
  <c r="R47" i="7"/>
  <c r="I47" i="7" s="1"/>
  <c r="R46" i="7"/>
  <c r="I46" i="7" s="1"/>
  <c r="N52" i="2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H28" i="15"/>
  <c r="C23" i="15"/>
  <c r="C29" i="15"/>
  <c r="C21" i="15"/>
  <c r="D28" i="15"/>
  <c r="B23" i="15"/>
  <c r="C28" i="15"/>
  <c r="D29" i="15"/>
  <c r="B29" i="15"/>
  <c r="H25" i="15"/>
  <c r="F21" i="15"/>
  <c r="E28" i="15"/>
  <c r="E21" i="15"/>
  <c r="H27" i="15"/>
  <c r="E24" i="15"/>
  <c r="D21" i="15"/>
  <c r="D22" i="15"/>
  <c r="B28" i="15"/>
  <c r="C27" i="15"/>
  <c r="H23" i="15"/>
  <c r="E30" i="15"/>
  <c r="C22" i="15"/>
  <c r="H30" i="15"/>
  <c r="F25" i="15"/>
  <c r="F23" i="15"/>
  <c r="C24" i="15"/>
  <c r="H26" i="15"/>
  <c r="H22" i="15"/>
  <c r="B22" i="15"/>
  <c r="D23" i="15"/>
  <c r="F24" i="15"/>
  <c r="G24" i="15"/>
  <c r="H24" i="15"/>
  <c r="G28" i="15"/>
  <c r="E23" i="15"/>
  <c r="D27" i="15"/>
  <c r="D30" i="15"/>
  <c r="G22" i="15"/>
  <c r="G21" i="15"/>
  <c r="E29" i="15"/>
  <c r="E26" i="15"/>
  <c r="G27" i="15"/>
  <c r="F27" i="15"/>
  <c r="B24" i="15"/>
  <c r="E25" i="15"/>
  <c r="E22" i="15"/>
  <c r="B30" i="15"/>
  <c r="F22" i="15"/>
  <c r="G30" i="15"/>
  <c r="H29" i="15"/>
  <c r="C30" i="15"/>
  <c r="B26" i="15"/>
  <c r="F30" i="15"/>
  <c r="E27" i="15"/>
  <c r="B27" i="15"/>
  <c r="F29" i="15"/>
  <c r="B25" i="15"/>
  <c r="D24" i="15"/>
  <c r="G29" i="15"/>
  <c r="C26" i="15"/>
  <c r="H21" i="15"/>
  <c r="B21" i="15"/>
  <c r="F28" i="15"/>
  <c r="C25" i="15"/>
  <c r="F26" i="15"/>
  <c r="D26" i="15"/>
  <c r="G26" i="15"/>
  <c r="G23" i="15"/>
  <c r="G25" i="15"/>
  <c r="D25" i="15"/>
  <c r="C11" i="16" l="1"/>
  <c r="C12" i="16"/>
  <c r="C13" i="16"/>
  <c r="C14" i="16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34" i="17"/>
  <c r="P43" i="12"/>
  <c r="J31" i="20"/>
  <c r="Q25" i="17"/>
  <c r="Q40" i="17"/>
  <c r="S32" i="19"/>
  <c r="D11" i="16"/>
  <c r="S31" i="19"/>
  <c r="Q35" i="17"/>
  <c r="Q32" i="17"/>
  <c r="Q36" i="17"/>
  <c r="Q30" i="17"/>
  <c r="J24" i="18"/>
  <c r="S28" i="20"/>
  <c r="S24" i="19"/>
  <c r="Q26" i="17"/>
  <c r="S29" i="10"/>
  <c r="J29" i="20"/>
  <c r="P44" i="7"/>
  <c r="J30" i="17"/>
  <c r="S21" i="17"/>
  <c r="J32" i="5"/>
  <c r="S30" i="17"/>
  <c r="J25" i="18"/>
  <c r="J31" i="18"/>
  <c r="S32" i="13"/>
  <c r="S30" i="11"/>
  <c r="S30" i="20"/>
  <c r="J21" i="20"/>
  <c r="J30" i="5"/>
  <c r="S21" i="20"/>
  <c r="S31" i="13"/>
  <c r="P43" i="11"/>
  <c r="P44" i="13"/>
  <c r="S30" i="18"/>
  <c r="P45" i="12"/>
  <c r="J24" i="17"/>
  <c r="S29" i="7"/>
  <c r="S19" i="18"/>
  <c r="Q28" i="17"/>
  <c r="S27" i="19"/>
  <c r="S22" i="17"/>
  <c r="S29" i="17"/>
  <c r="J30" i="13"/>
  <c r="S32" i="10"/>
  <c r="S26" i="18"/>
  <c r="S29" i="13"/>
  <c r="J22" i="18"/>
  <c r="J30" i="7"/>
  <c r="S27" i="17"/>
  <c r="S31" i="7"/>
  <c r="J27" i="20"/>
  <c r="S18" i="18"/>
  <c r="S22" i="19"/>
  <c r="J19" i="17"/>
  <c r="Q45" i="20"/>
  <c r="J23" i="18"/>
  <c r="J30" i="19"/>
  <c r="S32" i="18"/>
  <c r="S21" i="18"/>
  <c r="J29" i="17"/>
  <c r="J30" i="11"/>
  <c r="J31" i="5"/>
  <c r="J18" i="17"/>
  <c r="S18" i="17"/>
  <c r="J18" i="19"/>
  <c r="P42" i="7"/>
  <c r="J29" i="11"/>
  <c r="Q43" i="20"/>
  <c r="S32" i="11"/>
  <c r="S19" i="20"/>
  <c r="J30" i="10"/>
  <c r="J20" i="18"/>
  <c r="S26" i="19"/>
  <c r="S21" i="19"/>
  <c r="J29" i="19"/>
  <c r="J22" i="19"/>
  <c r="S31" i="10"/>
  <c r="J29" i="5"/>
  <c r="P45" i="5"/>
  <c r="S29" i="5"/>
  <c r="Q44" i="17"/>
  <c r="J25" i="20"/>
  <c r="S23" i="20"/>
  <c r="Q43" i="17"/>
  <c r="S28" i="18"/>
  <c r="P43" i="13"/>
  <c r="S32" i="12"/>
  <c r="J31" i="12"/>
  <c r="S31" i="12"/>
  <c r="S20" i="18"/>
  <c r="S20" i="20"/>
  <c r="Q19" i="17"/>
  <c r="S30" i="13"/>
  <c r="S25" i="18"/>
  <c r="Q33" i="17"/>
  <c r="Q44" i="19"/>
  <c r="J25" i="17"/>
  <c r="J22" i="20"/>
  <c r="Q31" i="17"/>
  <c r="J26" i="19"/>
  <c r="J31" i="7"/>
  <c r="J24" i="20"/>
  <c r="J19" i="19"/>
  <c r="J29" i="18"/>
  <c r="S25" i="19"/>
  <c r="S30" i="19"/>
  <c r="J29" i="13"/>
  <c r="J31" i="10"/>
  <c r="Q20" i="17"/>
  <c r="J32" i="10"/>
  <c r="J21" i="19"/>
  <c r="P44" i="5"/>
  <c r="S28" i="17"/>
  <c r="J18" i="20"/>
  <c r="Q23" i="17"/>
  <c r="S18" i="19"/>
  <c r="J18" i="18"/>
  <c r="J32" i="12"/>
  <c r="P43" i="7"/>
  <c r="S22" i="18"/>
  <c r="J28" i="20"/>
  <c r="S29" i="19"/>
  <c r="J26" i="17"/>
  <c r="S20" i="17"/>
  <c r="S30" i="12"/>
  <c r="Q41" i="17"/>
  <c r="S29" i="12"/>
  <c r="S29" i="11"/>
  <c r="J31" i="13"/>
  <c r="P42" i="13"/>
  <c r="P45" i="11"/>
  <c r="J19" i="18"/>
  <c r="S19" i="17"/>
  <c r="J32" i="19"/>
  <c r="S26" i="20"/>
  <c r="J27" i="17"/>
  <c r="J32" i="7"/>
  <c r="J25" i="19"/>
  <c r="S25" i="17"/>
  <c r="Q42" i="17"/>
  <c r="S30" i="5"/>
  <c r="Q45" i="18"/>
  <c r="S25" i="20"/>
  <c r="Q24" i="17"/>
  <c r="S29" i="18"/>
  <c r="Q22" i="17"/>
  <c r="J26" i="20"/>
  <c r="J19" i="20"/>
  <c r="P45" i="13"/>
  <c r="S20" i="19"/>
  <c r="J30" i="18"/>
  <c r="J32" i="11"/>
  <c r="S29" i="20"/>
  <c r="J24" i="19"/>
  <c r="S27" i="18"/>
  <c r="S22" i="20"/>
  <c r="Q21" i="17"/>
  <c r="S24" i="17"/>
  <c r="S24" i="20"/>
  <c r="S27" i="20"/>
  <c r="S18" i="20"/>
  <c r="J27" i="18"/>
  <c r="S19" i="19"/>
  <c r="S32" i="20"/>
  <c r="S31" i="17"/>
  <c r="S23" i="17"/>
  <c r="S32" i="17"/>
  <c r="J21" i="17"/>
  <c r="Q27" i="17"/>
  <c r="S31" i="5"/>
  <c r="D14" i="16"/>
  <c r="S23" i="18"/>
  <c r="D12" i="16"/>
  <c r="J26" i="18"/>
  <c r="Q45" i="19"/>
  <c r="P44" i="12"/>
  <c r="J32" i="13"/>
  <c r="J20" i="17"/>
  <c r="Q29" i="17"/>
  <c r="P44" i="11"/>
  <c r="Q37" i="17"/>
  <c r="Q45" i="17"/>
  <c r="J20" i="20"/>
  <c r="Q39" i="17"/>
  <c r="J29" i="7"/>
  <c r="J23" i="20"/>
  <c r="S30" i="7"/>
  <c r="J28" i="18"/>
  <c r="J22" i="17"/>
  <c r="J31" i="19"/>
  <c r="Q43" i="19"/>
  <c r="J20" i="19"/>
  <c r="J21" i="18"/>
  <c r="S23" i="19"/>
  <c r="J31" i="11"/>
  <c r="J28" i="17"/>
  <c r="J27" i="19"/>
  <c r="J29" i="10"/>
  <c r="J32" i="18"/>
  <c r="P45" i="7"/>
  <c r="S32" i="7"/>
  <c r="S30" i="10"/>
  <c r="Q44" i="20"/>
  <c r="S26" i="17"/>
  <c r="J23" i="17"/>
  <c r="J32" i="20"/>
  <c r="P42" i="11"/>
  <c r="J31" i="17"/>
  <c r="J32" i="17"/>
  <c r="P42" i="5"/>
  <c r="S31" i="20"/>
  <c r="J30" i="12"/>
  <c r="J30" i="20"/>
  <c r="J28" i="19"/>
  <c r="J29" i="12"/>
  <c r="S32" i="5"/>
  <c r="S24" i="18"/>
  <c r="S31" i="18"/>
  <c r="Q38" i="17"/>
  <c r="P42" i="12"/>
  <c r="S28" i="19"/>
  <c r="D13" i="16"/>
  <c r="P43" i="5"/>
  <c r="J23" i="19"/>
  <c r="S31" i="11"/>
  <c r="S74" i="20" l="1"/>
  <c r="S74" i="19"/>
  <c r="S74" i="18"/>
  <c r="S74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AK5" i="16"/>
  <c r="AK6" i="16"/>
  <c r="P24" i="18"/>
  <c r="P28" i="17"/>
  <c r="P33" i="18"/>
  <c r="Q34" i="19"/>
  <c r="Q42" i="13"/>
  <c r="Q25" i="20"/>
  <c r="Q26" i="20"/>
  <c r="Q38" i="19"/>
  <c r="P40" i="19"/>
  <c r="Q39" i="19"/>
  <c r="P25" i="19"/>
  <c r="P24" i="19"/>
  <c r="Q22" i="20"/>
  <c r="P24" i="20"/>
  <c r="P39" i="18"/>
  <c r="Q43" i="11"/>
  <c r="P32" i="20"/>
  <c r="Q44" i="10"/>
  <c r="P32" i="18"/>
  <c r="Q36" i="19"/>
  <c r="P43" i="17"/>
  <c r="P20" i="19"/>
  <c r="P44" i="17"/>
  <c r="P43" i="20"/>
  <c r="Q27" i="19"/>
  <c r="P30" i="20"/>
  <c r="P31" i="18"/>
  <c r="Q36" i="20"/>
  <c r="Q30" i="18"/>
  <c r="Q21" i="18"/>
  <c r="P26" i="20"/>
  <c r="Q22" i="18"/>
  <c r="Q45" i="12"/>
  <c r="Q42" i="10"/>
  <c r="P20" i="20"/>
  <c r="Q21" i="19"/>
  <c r="P24" i="17"/>
  <c r="P32" i="17"/>
  <c r="Q37" i="18"/>
  <c r="Q30" i="20"/>
  <c r="P28" i="20"/>
  <c r="Q21" i="20"/>
  <c r="Q20" i="18"/>
  <c r="P27" i="20"/>
  <c r="P20" i="17"/>
  <c r="Q43" i="12"/>
  <c r="P29" i="20"/>
  <c r="P35" i="19"/>
  <c r="Q44" i="12"/>
  <c r="Q35" i="19"/>
  <c r="Q40" i="19"/>
  <c r="Q22" i="19"/>
  <c r="P27" i="18"/>
  <c r="Q42" i="5"/>
  <c r="Q38" i="20"/>
  <c r="P41" i="19"/>
  <c r="P33" i="20"/>
  <c r="Q19" i="18"/>
  <c r="Q42" i="20"/>
  <c r="Q44" i="18"/>
  <c r="P22" i="20"/>
  <c r="P37" i="19"/>
  <c r="Q41" i="19"/>
  <c r="P36" i="20"/>
  <c r="Q42" i="12"/>
  <c r="P25" i="18"/>
  <c r="Q28" i="20"/>
  <c r="P28" i="19"/>
  <c r="P38" i="19"/>
  <c r="P42" i="19"/>
  <c r="P23" i="20"/>
  <c r="P40" i="17"/>
  <c r="P39" i="17"/>
  <c r="P42" i="18"/>
  <c r="P38" i="20"/>
  <c r="P35" i="17"/>
  <c r="P22" i="17"/>
  <c r="Q29" i="18"/>
  <c r="Q27" i="18"/>
  <c r="P37" i="20"/>
  <c r="P19" i="18"/>
  <c r="P28" i="18"/>
  <c r="Q44" i="11"/>
  <c r="Q41" i="18"/>
  <c r="P19" i="20"/>
  <c r="Q31" i="19"/>
  <c r="Q35" i="18"/>
  <c r="P25" i="17"/>
  <c r="Q45" i="11"/>
  <c r="P23" i="18"/>
  <c r="P30" i="19"/>
  <c r="P22" i="19"/>
  <c r="P31" i="20"/>
  <c r="P19" i="17"/>
  <c r="P32" i="19"/>
  <c r="P33" i="19"/>
  <c r="Q27" i="20"/>
  <c r="Q43" i="18"/>
  <c r="Q35" i="20"/>
  <c r="Q41" i="20"/>
  <c r="P38" i="17"/>
  <c r="P36" i="17"/>
  <c r="Q42" i="11"/>
  <c r="P42" i="20"/>
  <c r="Q23" i="18"/>
  <c r="P42" i="10"/>
  <c r="P34" i="18"/>
  <c r="Q28" i="18"/>
  <c r="Q25" i="19"/>
  <c r="Q44" i="5"/>
  <c r="P23" i="19"/>
  <c r="P45" i="17"/>
  <c r="P25" i="20"/>
  <c r="P35" i="18"/>
  <c r="Q33" i="18"/>
  <c r="P34" i="20"/>
  <c r="P29" i="19"/>
  <c r="Q39" i="20"/>
  <c r="P40" i="20"/>
  <c r="Q20" i="19"/>
  <c r="Q20" i="20"/>
  <c r="P31" i="17"/>
  <c r="Q19" i="20"/>
  <c r="Q30" i="19"/>
  <c r="P33" i="17"/>
  <c r="Q42" i="19"/>
  <c r="P30" i="18"/>
  <c r="P44" i="20"/>
  <c r="Q31" i="20"/>
  <c r="P39" i="19"/>
  <c r="Q40" i="20"/>
  <c r="Q25" i="18"/>
  <c r="Q33" i="19"/>
  <c r="Q33" i="20"/>
  <c r="P39" i="20"/>
  <c r="P43" i="10"/>
  <c r="P43" i="18"/>
  <c r="Q32" i="20"/>
  <c r="P20" i="18"/>
  <c r="Q24" i="18"/>
  <c r="P34" i="19"/>
  <c r="P19" i="19"/>
  <c r="Q45" i="7"/>
  <c r="P42" i="17"/>
  <c r="Q38" i="18"/>
  <c r="P26" i="18"/>
  <c r="P26" i="19"/>
  <c r="Q43" i="7"/>
  <c r="P29" i="17"/>
  <c r="Q45" i="10"/>
  <c r="Q26" i="19"/>
  <c r="P34" i="17"/>
  <c r="P40" i="18"/>
  <c r="Q44" i="7"/>
  <c r="Q29" i="19"/>
  <c r="Q40" i="18"/>
  <c r="Q37" i="19"/>
  <c r="P21" i="18"/>
  <c r="P45" i="20"/>
  <c r="Q23" i="19"/>
  <c r="Q36" i="18"/>
  <c r="Q32" i="18"/>
  <c r="Q24" i="20"/>
  <c r="P43" i="19"/>
  <c r="Q23" i="20"/>
  <c r="Q43" i="13"/>
  <c r="Q44" i="13"/>
  <c r="Q45" i="13"/>
  <c r="Q24" i="19"/>
  <c r="P30" i="17"/>
  <c r="P21" i="19"/>
  <c r="Q34" i="20"/>
  <c r="P26" i="17"/>
  <c r="P29" i="18"/>
  <c r="P41" i="18"/>
  <c r="P23" i="17"/>
  <c r="P37" i="18"/>
  <c r="Q31" i="18"/>
  <c r="Q29" i="20"/>
  <c r="P35" i="20"/>
  <c r="Q42" i="7"/>
  <c r="Q43" i="10"/>
  <c r="P22" i="18"/>
  <c r="Q37" i="20"/>
  <c r="Q19" i="19"/>
  <c r="Q28" i="19"/>
  <c r="P45" i="19"/>
  <c r="P44" i="10"/>
  <c r="P45" i="18"/>
  <c r="Q26" i="18"/>
  <c r="P44" i="19"/>
  <c r="P44" i="18"/>
  <c r="Q43" i="5"/>
  <c r="P36" i="18"/>
  <c r="P41" i="17"/>
  <c r="P45" i="10"/>
  <c r="P21" i="17"/>
  <c r="P27" i="17"/>
  <c r="P37" i="17"/>
  <c r="P38" i="18"/>
  <c r="Q39" i="18"/>
  <c r="P27" i="19"/>
  <c r="Q45" i="5"/>
  <c r="P21" i="20"/>
  <c r="P36" i="19"/>
  <c r="P31" i="19"/>
  <c r="Q42" i="18"/>
  <c r="Q32" i="19"/>
  <c r="P41" i="20"/>
  <c r="Q34" i="18"/>
  <c r="AG5" i="4" l="1"/>
  <c r="R45" i="20"/>
  <c r="I45" i="20" s="1"/>
  <c r="R45" i="19"/>
  <c r="I45" i="19" s="1"/>
  <c r="R45" i="18"/>
  <c r="I45" i="18" s="1"/>
  <c r="R45" i="17"/>
  <c r="I45" i="17" s="1"/>
  <c r="R45" i="13"/>
  <c r="I45" i="13" s="1"/>
  <c r="R45" i="12"/>
  <c r="I45" i="12" s="1"/>
  <c r="R45" i="11"/>
  <c r="I45" i="11" s="1"/>
  <c r="R45" i="10"/>
  <c r="I45" i="10" s="1"/>
  <c r="R45" i="5"/>
  <c r="I45" i="5" s="1"/>
  <c r="R45" i="7"/>
  <c r="I45" i="7" s="1"/>
  <c r="R44" i="20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AD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AF5" i="4"/>
  <c r="AE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T18" i="16"/>
  <c r="V9" i="16"/>
  <c r="Z16" i="16"/>
  <c r="U11" i="16"/>
  <c r="U16" i="16"/>
  <c r="U15" i="16"/>
  <c r="V7" i="16"/>
  <c r="U12" i="16"/>
  <c r="Y17" i="16"/>
  <c r="V6" i="16"/>
  <c r="U7" i="16"/>
  <c r="U14" i="16"/>
  <c r="T12" i="16"/>
  <c r="U8" i="16"/>
  <c r="V16" i="16"/>
  <c r="AA17" i="16"/>
  <c r="T13" i="16"/>
  <c r="AB12" i="16" l="1"/>
  <c r="AB13" i="16"/>
  <c r="AB18" i="16"/>
  <c r="K6" i="16"/>
  <c r="K7" i="16" s="1"/>
  <c r="K8" i="16" s="1"/>
  <c r="K9" i="16" s="1"/>
  <c r="K10" i="16" s="1"/>
  <c r="K11" i="16" s="1"/>
  <c r="L5" i="16"/>
  <c r="L6" i="16" s="1"/>
  <c r="L7" i="16" s="1"/>
  <c r="L8" i="16" s="1"/>
  <c r="L9" i="16" s="1"/>
  <c r="L10" i="16" s="1"/>
  <c r="L11" i="16" s="1"/>
  <c r="C6" i="16"/>
  <c r="C7" i="16"/>
  <c r="C8" i="16"/>
  <c r="C9" i="16"/>
  <c r="C10" i="16"/>
  <c r="C5" i="16"/>
  <c r="T17" i="16"/>
  <c r="T10" i="16"/>
  <c r="T16" i="16"/>
  <c r="T14" i="16"/>
  <c r="U9" i="16"/>
  <c r="V18" i="16"/>
  <c r="V10" i="16"/>
  <c r="V5" i="16"/>
  <c r="V13" i="16"/>
  <c r="AA18" i="16"/>
  <c r="U13" i="16"/>
  <c r="Z17" i="16"/>
  <c r="V14" i="16"/>
  <c r="T8" i="16"/>
  <c r="V12" i="16"/>
  <c r="U6" i="16"/>
  <c r="Y18" i="16"/>
  <c r="T15" i="16"/>
  <c r="D9" i="16"/>
  <c r="V15" i="16"/>
  <c r="U10" i="16"/>
  <c r="D10" i="16"/>
  <c r="T5" i="16"/>
  <c r="Y15" i="16"/>
  <c r="D6" i="16"/>
  <c r="T9" i="16"/>
  <c r="AA16" i="16"/>
  <c r="U5" i="16"/>
  <c r="T6" i="16"/>
  <c r="U17" i="16"/>
  <c r="V11" i="16"/>
  <c r="D5" i="16"/>
  <c r="V17" i="16"/>
  <c r="Z15" i="16"/>
  <c r="Y16" i="16"/>
  <c r="T11" i="16"/>
  <c r="V8" i="16"/>
  <c r="T7" i="16"/>
  <c r="AA15" i="16"/>
  <c r="D8" i="16"/>
  <c r="U18" i="16"/>
  <c r="Z18" i="16"/>
  <c r="D7" i="16"/>
  <c r="AB6" i="16" l="1"/>
  <c r="AB10" i="16"/>
  <c r="AB5" i="16"/>
  <c r="AB14" i="16"/>
  <c r="AB16" i="16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S27" i="12"/>
  <c r="S22" i="12"/>
  <c r="J25" i="11"/>
  <c r="J23" i="11"/>
  <c r="J28" i="12"/>
  <c r="J24" i="13"/>
  <c r="S24" i="12"/>
  <c r="S20" i="12"/>
  <c r="J19" i="13"/>
  <c r="S26" i="12"/>
  <c r="Q41" i="11"/>
  <c r="J20" i="13"/>
  <c r="J28" i="11"/>
  <c r="Q41" i="12"/>
  <c r="J18" i="11"/>
  <c r="S27" i="11"/>
  <c r="J27" i="11"/>
  <c r="J25" i="12"/>
  <c r="J21" i="13"/>
  <c r="S28" i="13"/>
  <c r="S24" i="11"/>
  <c r="S22" i="11"/>
  <c r="Q40" i="12"/>
  <c r="S25" i="13"/>
  <c r="S19" i="12"/>
  <c r="S18" i="13"/>
  <c r="S26" i="11"/>
  <c r="J23" i="12"/>
  <c r="J24" i="11"/>
  <c r="J22" i="12"/>
  <c r="J20" i="12"/>
  <c r="S23" i="13"/>
  <c r="S28" i="11"/>
  <c r="S21" i="13"/>
  <c r="S20" i="13"/>
  <c r="S22" i="13"/>
  <c r="S19" i="13"/>
  <c r="S21" i="12"/>
  <c r="J28" i="13"/>
  <c r="J26" i="12"/>
  <c r="J18" i="13"/>
  <c r="J22" i="13"/>
  <c r="S28" i="12"/>
  <c r="S20" i="11"/>
  <c r="S21" i="11"/>
  <c r="J26" i="13"/>
  <c r="J27" i="13"/>
  <c r="S27" i="13"/>
  <c r="J27" i="12"/>
  <c r="J19" i="11"/>
  <c r="J18" i="12"/>
  <c r="J21" i="11"/>
  <c r="J25" i="13"/>
  <c r="J23" i="13"/>
  <c r="S23" i="12"/>
  <c r="J21" i="12"/>
  <c r="Q40" i="11"/>
  <c r="J24" i="12"/>
  <c r="J19" i="12"/>
  <c r="S19" i="11"/>
  <c r="J26" i="11"/>
  <c r="S25" i="11"/>
  <c r="S24" i="13"/>
  <c r="J22" i="11"/>
  <c r="J20" i="11"/>
  <c r="S26" i="13"/>
  <c r="S25" i="12"/>
  <c r="S18" i="12"/>
  <c r="S23" i="11"/>
  <c r="S18" i="11"/>
  <c r="Q41" i="13"/>
  <c r="Q40" i="13"/>
  <c r="H71" i="11" l="1"/>
  <c r="H72" i="11" s="1"/>
  <c r="H73" i="11" s="1"/>
  <c r="H26" i="12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74" i="13"/>
  <c r="S74" i="12"/>
  <c r="S74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H43" i="7" l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27" i="12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N8" i="5"/>
  <c r="O24" i="5"/>
  <c r="N25" i="10"/>
  <c r="N14" i="10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H28" i="12" l="1"/>
  <c r="I18" i="7"/>
  <c r="E5" i="4"/>
  <c r="D5" i="4"/>
  <c r="H29" i="12" l="1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AS6" i="4" l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E26" i="16" s="1"/>
  <c r="F26" i="16" s="1"/>
  <c r="AR6" i="4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E25" i="16" s="1"/>
  <c r="F25" i="16" s="1"/>
  <c r="AQ6" i="4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E24" i="16" s="1"/>
  <c r="F24" i="16" s="1"/>
  <c r="AP6" i="4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N6" i="4"/>
  <c r="AN7" i="4" s="1"/>
  <c r="AO6" i="4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M6" i="4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L6" i="4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K6" i="4"/>
  <c r="AK7" i="4" s="1"/>
  <c r="AJ6" i="4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I6" i="4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H6" i="4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F6" i="4"/>
  <c r="AF7" i="4" s="1"/>
  <c r="AF8" i="4" s="1"/>
  <c r="AF9" i="4" s="1"/>
  <c r="AF10" i="4" s="1"/>
  <c r="AF11" i="4" s="1"/>
  <c r="AF12" i="4" s="1"/>
  <c r="AF13" i="4" s="1"/>
  <c r="AF14" i="4" s="1"/>
  <c r="AF15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G6" i="4"/>
  <c r="K6" i="4"/>
  <c r="AD6" i="4"/>
  <c r="AD7" i="4" s="1"/>
  <c r="AD8" i="4" s="1"/>
  <c r="AD9" i="4" s="1"/>
  <c r="AD10" i="4" s="1"/>
  <c r="AD11" i="4" s="1"/>
  <c r="AD12" i="4" s="1"/>
  <c r="AD13" i="4" s="1"/>
  <c r="AD14" i="4" s="1"/>
  <c r="AD15" i="4" s="1"/>
  <c r="J6" i="4"/>
  <c r="I6" i="4"/>
  <c r="H6" i="4"/>
  <c r="H31" i="12"/>
  <c r="AK7" i="16"/>
  <c r="C6" i="4"/>
  <c r="E6" i="4"/>
  <c r="F6" i="4"/>
  <c r="G6" i="4"/>
  <c r="B6" i="4"/>
  <c r="B52" i="4" s="1"/>
  <c r="P101" i="2"/>
  <c r="O8" i="2"/>
  <c r="O12" i="2"/>
  <c r="S101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X5" i="4" s="1"/>
  <c r="Y5" i="4" l="1"/>
  <c r="AM42" i="4"/>
  <c r="AM43" i="4" s="1"/>
  <c r="AM44" i="4" s="1"/>
  <c r="AM45" i="4" s="1"/>
  <c r="AM46" i="4" s="1"/>
  <c r="AM47" i="4" s="1"/>
  <c r="AM48" i="4" s="1"/>
  <c r="AM49" i="4" s="1"/>
  <c r="AM50" i="4" s="1"/>
  <c r="AM51" i="4" s="1"/>
  <c r="E20" i="16" s="1"/>
  <c r="F20" i="16" s="1"/>
  <c r="AP42" i="4"/>
  <c r="AP43" i="4" s="1"/>
  <c r="AP44" i="4" s="1"/>
  <c r="AP45" i="4" s="1"/>
  <c r="AP46" i="4" s="1"/>
  <c r="AP47" i="4" s="1"/>
  <c r="AP48" i="4" s="1"/>
  <c r="AP49" i="4" s="1"/>
  <c r="AP50" i="4" s="1"/>
  <c r="AP51" i="4" s="1"/>
  <c r="E23" i="16" s="1"/>
  <c r="F23" i="16" s="1"/>
  <c r="M12" i="16"/>
  <c r="G10" i="15" s="1"/>
  <c r="P12" i="16"/>
  <c r="O12" i="16"/>
  <c r="N12" i="16"/>
  <c r="AN8" i="4"/>
  <c r="AL36" i="4"/>
  <c r="M11" i="16"/>
  <c r="P11" i="16"/>
  <c r="AK8" i="4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N11" i="16"/>
  <c r="O11" i="16"/>
  <c r="AG7" i="4"/>
  <c r="AF16" i="4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D16" i="4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E16" i="4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AC5" i="4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V5" i="4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X6" i="4"/>
  <c r="X7" i="4" s="1"/>
  <c r="X8" i="4" s="1"/>
  <c r="X9" i="4" s="1"/>
  <c r="X10" i="4" s="1"/>
  <c r="X11" i="4" s="1"/>
  <c r="X12" i="4" s="1"/>
  <c r="X13" i="4" s="1"/>
  <c r="X14" i="4" s="1"/>
  <c r="X15" i="4" s="1"/>
  <c r="N8" i="16"/>
  <c r="N6" i="16"/>
  <c r="N10" i="16"/>
  <c r="N5" i="16"/>
  <c r="N9" i="16"/>
  <c r="N7" i="16"/>
  <c r="Y6" i="4"/>
  <c r="Y7" i="4" s="1"/>
  <c r="Y8" i="4" s="1"/>
  <c r="Y9" i="4" s="1"/>
  <c r="Y10" i="4" s="1"/>
  <c r="Y11" i="4" s="1"/>
  <c r="Y12" i="4" s="1"/>
  <c r="Y13" i="4" s="1"/>
  <c r="Y14" i="4" s="1"/>
  <c r="Y15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P36" i="11"/>
  <c r="X9" i="16"/>
  <c r="Y6" i="16"/>
  <c r="Q30" i="7"/>
  <c r="P33" i="5"/>
  <c r="Y7" i="16"/>
  <c r="P36" i="13"/>
  <c r="W11" i="16"/>
  <c r="S23" i="7"/>
  <c r="W5" i="16"/>
  <c r="P34" i="11"/>
  <c r="J22" i="10"/>
  <c r="P30" i="13"/>
  <c r="P20" i="7"/>
  <c r="J26" i="5"/>
  <c r="Q23" i="11"/>
  <c r="Q23" i="13"/>
  <c r="P37" i="11"/>
  <c r="Q29" i="11"/>
  <c r="P25" i="5"/>
  <c r="Q21" i="13"/>
  <c r="Q32" i="11"/>
  <c r="P39" i="11"/>
  <c r="Q38" i="5"/>
  <c r="S25" i="10"/>
  <c r="P21" i="13"/>
  <c r="S28" i="7"/>
  <c r="Q22" i="10"/>
  <c r="AA10" i="16"/>
  <c r="P30" i="7"/>
  <c r="P23" i="7"/>
  <c r="P40" i="13"/>
  <c r="Q35" i="13"/>
  <c r="P32" i="5"/>
  <c r="S23" i="10"/>
  <c r="Z7" i="16"/>
  <c r="AA5" i="16"/>
  <c r="Q20" i="7"/>
  <c r="Q20" i="5"/>
  <c r="Q23" i="5"/>
  <c r="P37" i="7"/>
  <c r="Q27" i="12"/>
  <c r="Z14" i="16"/>
  <c r="P35" i="11"/>
  <c r="J26" i="7"/>
  <c r="Q40" i="10"/>
  <c r="J20" i="10"/>
  <c r="P34" i="12"/>
  <c r="Q28" i="10"/>
  <c r="P19" i="7"/>
  <c r="Q31" i="10"/>
  <c r="P28" i="7"/>
  <c r="S18" i="10"/>
  <c r="P35" i="12"/>
  <c r="Q34" i="12"/>
  <c r="Q22" i="7"/>
  <c r="P21" i="5"/>
  <c r="Q33" i="7"/>
  <c r="Q41" i="10"/>
  <c r="Q28" i="5"/>
  <c r="P26" i="5"/>
  <c r="Q26" i="13"/>
  <c r="Q32" i="7"/>
  <c r="AA12" i="16"/>
  <c r="Q37" i="5"/>
  <c r="Q32" i="10"/>
  <c r="Z10" i="16"/>
  <c r="Q30" i="12"/>
  <c r="P39" i="12"/>
  <c r="Q27" i="13"/>
  <c r="Q24" i="12"/>
  <c r="S20" i="10"/>
  <c r="Q36" i="12"/>
  <c r="P33" i="13"/>
  <c r="S27" i="10"/>
  <c r="Q21" i="11"/>
  <c r="P40" i="12"/>
  <c r="P36" i="5"/>
  <c r="Q19" i="10"/>
  <c r="X18" i="16"/>
  <c r="Q40" i="5"/>
  <c r="Q30" i="10"/>
  <c r="P38" i="7"/>
  <c r="Q19" i="5"/>
  <c r="P27" i="12"/>
  <c r="J28" i="7"/>
  <c r="Q38" i="12"/>
  <c r="P24" i="5"/>
  <c r="P29" i="7"/>
  <c r="P32" i="10"/>
  <c r="Q31" i="5"/>
  <c r="P30" i="10"/>
  <c r="J27" i="5"/>
  <c r="P22" i="11"/>
  <c r="Y13" i="16"/>
  <c r="Q25" i="12"/>
  <c r="S26" i="10"/>
  <c r="P27" i="13"/>
  <c r="P20" i="5"/>
  <c r="P34" i="10"/>
  <c r="Y12" i="16"/>
  <c r="Q27" i="5"/>
  <c r="Q28" i="12"/>
  <c r="S18" i="5"/>
  <c r="P30" i="12"/>
  <c r="Q26" i="7"/>
  <c r="P23" i="5"/>
  <c r="Q38" i="10"/>
  <c r="P20" i="13"/>
  <c r="Q23" i="10"/>
  <c r="P24" i="12"/>
  <c r="X14" i="16"/>
  <c r="Y8" i="16"/>
  <c r="S24" i="5"/>
  <c r="W14" i="16"/>
  <c r="J18" i="5"/>
  <c r="Q35" i="5"/>
  <c r="P31" i="7"/>
  <c r="Q37" i="11"/>
  <c r="P20" i="12"/>
  <c r="Q39" i="13"/>
  <c r="Z8" i="16"/>
  <c r="J23" i="5"/>
  <c r="P41" i="7"/>
  <c r="P37" i="5"/>
  <c r="P39" i="5"/>
  <c r="J21" i="7"/>
  <c r="P22" i="10"/>
  <c r="Q28" i="13"/>
  <c r="Y10" i="16"/>
  <c r="P25" i="13"/>
  <c r="AA13" i="16"/>
  <c r="J25" i="5"/>
  <c r="W18" i="16"/>
  <c r="Q19" i="12"/>
  <c r="P37" i="10"/>
  <c r="Q31" i="13"/>
  <c r="P35" i="7"/>
  <c r="P31" i="11"/>
  <c r="S19" i="10"/>
  <c r="J27" i="7"/>
  <c r="P40" i="5"/>
  <c r="P29" i="10"/>
  <c r="P41" i="11"/>
  <c r="Q33" i="10"/>
  <c r="P39" i="7"/>
  <c r="P41" i="13"/>
  <c r="Q29" i="7"/>
  <c r="P26" i="13"/>
  <c r="P38" i="13"/>
  <c r="S23" i="5"/>
  <c r="Q29" i="10"/>
  <c r="J23" i="10"/>
  <c r="P38" i="5"/>
  <c r="AA6" i="16"/>
  <c r="P20" i="11"/>
  <c r="Q21" i="12"/>
  <c r="Q31" i="12"/>
  <c r="AA9" i="16"/>
  <c r="P35" i="10"/>
  <c r="Q23" i="7"/>
  <c r="Q41" i="7"/>
  <c r="X13" i="16"/>
  <c r="Z9" i="16"/>
  <c r="P41" i="5"/>
  <c r="P28" i="13"/>
  <c r="P27" i="7"/>
  <c r="Q20" i="13"/>
  <c r="Q33" i="11"/>
  <c r="Q21" i="5"/>
  <c r="Q27" i="10"/>
  <c r="P28" i="12"/>
  <c r="J18" i="7"/>
  <c r="J19" i="7"/>
  <c r="P28" i="5"/>
  <c r="P33" i="11"/>
  <c r="P29" i="11"/>
  <c r="P34" i="7"/>
  <c r="P36" i="10"/>
  <c r="X5" i="16"/>
  <c r="J19" i="10"/>
  <c r="Q34" i="5"/>
  <c r="P30" i="11"/>
  <c r="P22" i="7"/>
  <c r="S27" i="5"/>
  <c r="AA14" i="16"/>
  <c r="P22" i="5"/>
  <c r="W16" i="16"/>
  <c r="Q38" i="7"/>
  <c r="P37" i="12"/>
  <c r="Q34" i="13"/>
  <c r="Q20" i="10"/>
  <c r="S24" i="7"/>
  <c r="P36" i="12"/>
  <c r="Q30" i="11"/>
  <c r="X16" i="16"/>
  <c r="S22" i="10"/>
  <c r="P25" i="11"/>
  <c r="Q41" i="5"/>
  <c r="Y5" i="16"/>
  <c r="Q35" i="7"/>
  <c r="Q22" i="13"/>
  <c r="X7" i="16"/>
  <c r="P27" i="11"/>
  <c r="S22" i="7"/>
  <c r="J23" i="7"/>
  <c r="P27" i="10"/>
  <c r="Q39" i="5"/>
  <c r="P37" i="13"/>
  <c r="Q29" i="5"/>
  <c r="Q30" i="5"/>
  <c r="P31" i="5"/>
  <c r="Q37" i="13"/>
  <c r="J24" i="7"/>
  <c r="S26" i="5"/>
  <c r="Q20" i="12"/>
  <c r="P21" i="7"/>
  <c r="J25" i="10"/>
  <c r="P38" i="10"/>
  <c r="S19" i="7"/>
  <c r="X17" i="16"/>
  <c r="P33" i="12"/>
  <c r="P22" i="12"/>
  <c r="Q34" i="10"/>
  <c r="P20" i="10"/>
  <c r="P39" i="13"/>
  <c r="Q34" i="11"/>
  <c r="Q24" i="5"/>
  <c r="J28" i="10"/>
  <c r="S27" i="7"/>
  <c r="W7" i="16"/>
  <c r="Q36" i="10"/>
  <c r="P26" i="7"/>
  <c r="Q36" i="11"/>
  <c r="Q23" i="12"/>
  <c r="S20" i="7"/>
  <c r="P23" i="12"/>
  <c r="Z5" i="16"/>
  <c r="Z12" i="16"/>
  <c r="Q28" i="11"/>
  <c r="AA11" i="16"/>
  <c r="S21" i="7"/>
  <c r="P32" i="7"/>
  <c r="Q33" i="13"/>
  <c r="Q26" i="10"/>
  <c r="P23" i="10"/>
  <c r="P40" i="7"/>
  <c r="P25" i="12"/>
  <c r="P28" i="11"/>
  <c r="W17" i="16"/>
  <c r="Q19" i="7"/>
  <c r="P36" i="7"/>
  <c r="P23" i="13"/>
  <c r="Q36" i="7"/>
  <c r="J18" i="10"/>
  <c r="Q20" i="11"/>
  <c r="J28" i="5"/>
  <c r="P34" i="5"/>
  <c r="Q35" i="10"/>
  <c r="Q36" i="13"/>
  <c r="Q29" i="13"/>
  <c r="J19" i="5"/>
  <c r="P34" i="13"/>
  <c r="Q30" i="13"/>
  <c r="Y11" i="16"/>
  <c r="Q31" i="11"/>
  <c r="X10" i="16"/>
  <c r="J25" i="7"/>
  <c r="Q26" i="12"/>
  <c r="P27" i="5"/>
  <c r="P32" i="13"/>
  <c r="AA8" i="16"/>
  <c r="P41" i="12"/>
  <c r="P31" i="13"/>
  <c r="P19" i="12"/>
  <c r="S25" i="7"/>
  <c r="J24" i="5"/>
  <c r="P40" i="10"/>
  <c r="Q40" i="7"/>
  <c r="X15" i="16"/>
  <c r="P30" i="5"/>
  <c r="X12" i="16"/>
  <c r="Q32" i="5"/>
  <c r="Q25" i="7"/>
  <c r="P29" i="5"/>
  <c r="S26" i="7"/>
  <c r="P38" i="11"/>
  <c r="Q37" i="12"/>
  <c r="Q39" i="10"/>
  <c r="Q21" i="7"/>
  <c r="J21" i="5"/>
  <c r="J26" i="10"/>
  <c r="P24" i="7"/>
  <c r="J22" i="5"/>
  <c r="P19" i="13"/>
  <c r="P35" i="5"/>
  <c r="Q22" i="5"/>
  <c r="P41" i="10"/>
  <c r="S19" i="5"/>
  <c r="P28" i="10"/>
  <c r="X8" i="16"/>
  <c r="P19" i="10"/>
  <c r="Q25" i="5"/>
  <c r="Q31" i="7"/>
  <c r="J20" i="5"/>
  <c r="Q21" i="10"/>
  <c r="P19" i="11"/>
  <c r="S18" i="7"/>
  <c r="P29" i="13"/>
  <c r="Q36" i="5"/>
  <c r="W15" i="16"/>
  <c r="W12" i="16"/>
  <c r="P32" i="12"/>
  <c r="P23" i="11"/>
  <c r="Z13" i="16"/>
  <c r="J20" i="7"/>
  <c r="Q24" i="10"/>
  <c r="P21" i="10"/>
  <c r="Q39" i="11"/>
  <c r="Q27" i="7"/>
  <c r="Q25" i="11"/>
  <c r="P22" i="13"/>
  <c r="Q32" i="12"/>
  <c r="Y14" i="16"/>
  <c r="Q22" i="12"/>
  <c r="Q22" i="11"/>
  <c r="P26" i="12"/>
  <c r="S22" i="5"/>
  <c r="S21" i="10"/>
  <c r="P32" i="11"/>
  <c r="P24" i="13"/>
  <c r="Q19" i="13"/>
  <c r="AA7" i="16"/>
  <c r="Q19" i="11"/>
  <c r="P31" i="10"/>
  <c r="J22" i="7"/>
  <c r="P40" i="11"/>
  <c r="S25" i="5"/>
  <c r="P26" i="11"/>
  <c r="P24" i="11"/>
  <c r="P21" i="11"/>
  <c r="Q38" i="13"/>
  <c r="P39" i="10"/>
  <c r="P25" i="10"/>
  <c r="J21" i="10"/>
  <c r="Z11" i="16"/>
  <c r="Q24" i="11"/>
  <c r="Q32" i="13"/>
  <c r="Q24" i="13"/>
  <c r="Q37" i="10"/>
  <c r="P38" i="12"/>
  <c r="P31" i="12"/>
  <c r="W6" i="16"/>
  <c r="Q33" i="5"/>
  <c r="S21" i="5"/>
  <c r="W13" i="16"/>
  <c r="Q38" i="11"/>
  <c r="Q29" i="12"/>
  <c r="S20" i="5"/>
  <c r="P33" i="10"/>
  <c r="P25" i="7"/>
  <c r="S28" i="5"/>
  <c r="Q34" i="7"/>
  <c r="Q28" i="7"/>
  <c r="P33" i="7"/>
  <c r="W8" i="16"/>
  <c r="Q27" i="11"/>
  <c r="Q35" i="12"/>
  <c r="Z6" i="16"/>
  <c r="Q25" i="10"/>
  <c r="Q33" i="12"/>
  <c r="P35" i="13"/>
  <c r="P21" i="12"/>
  <c r="X6" i="16"/>
  <c r="P29" i="12"/>
  <c r="Q35" i="11"/>
  <c r="P24" i="10"/>
  <c r="X11" i="16"/>
  <c r="Q24" i="7"/>
  <c r="P26" i="10"/>
  <c r="Q26" i="11"/>
  <c r="Q39" i="12"/>
  <c r="Q25" i="13"/>
  <c r="J24" i="10"/>
  <c r="S28" i="10"/>
  <c r="Y9" i="16"/>
  <c r="P19" i="5"/>
  <c r="S24" i="10"/>
  <c r="Q26" i="5"/>
  <c r="Q37" i="7"/>
  <c r="J27" i="10"/>
  <c r="Q39" i="7"/>
  <c r="AN9" i="4" l="1"/>
  <c r="AL37" i="4"/>
  <c r="AK33" i="4"/>
  <c r="R28" i="7"/>
  <c r="I28" i="7" s="1"/>
  <c r="R27" i="13"/>
  <c r="I27" i="13" s="1"/>
  <c r="R41" i="13"/>
  <c r="I41" i="13" s="1"/>
  <c r="R41" i="10"/>
  <c r="I41" i="10" s="1"/>
  <c r="R31" i="7"/>
  <c r="I31" i="7" s="1"/>
  <c r="R24" i="7"/>
  <c r="I24" i="7" s="1"/>
  <c r="R26" i="11"/>
  <c r="I26" i="11" s="1"/>
  <c r="R38" i="12"/>
  <c r="I38" i="12" s="1"/>
  <c r="S74" i="7"/>
  <c r="K18" i="5"/>
  <c r="L18" i="5"/>
  <c r="R36" i="7"/>
  <c r="I36" i="7" s="1"/>
  <c r="R34" i="10"/>
  <c r="I34" i="10" s="1"/>
  <c r="R28" i="13"/>
  <c r="I28" i="13" s="1"/>
  <c r="R41" i="12"/>
  <c r="I41" i="12" s="1"/>
  <c r="R24" i="5"/>
  <c r="I24" i="5" s="1"/>
  <c r="R34" i="7"/>
  <c r="I34" i="7" s="1"/>
  <c r="L19" i="10"/>
  <c r="K19" i="10"/>
  <c r="R40" i="10"/>
  <c r="I40" i="10" s="1"/>
  <c r="R37" i="12"/>
  <c r="I37" i="12" s="1"/>
  <c r="L26" i="7"/>
  <c r="K26" i="7"/>
  <c r="R33" i="5"/>
  <c r="I33" i="5" s="1"/>
  <c r="R40" i="11"/>
  <c r="I40" i="11" s="1"/>
  <c r="R26" i="13"/>
  <c r="I26" i="13" s="1"/>
  <c r="L27" i="10"/>
  <c r="K27" i="10"/>
  <c r="R33" i="10"/>
  <c r="I33" i="10" s="1"/>
  <c r="S74" i="5"/>
  <c r="R26" i="12"/>
  <c r="I26" i="12" s="1"/>
  <c r="R39" i="10"/>
  <c r="I39" i="10" s="1"/>
  <c r="K18" i="7"/>
  <c r="L18" i="7"/>
  <c r="R21" i="13"/>
  <c r="I21" i="13" s="1"/>
  <c r="R32" i="10"/>
  <c r="I32" i="10" s="1"/>
  <c r="R39" i="11"/>
  <c r="I39" i="11" s="1"/>
  <c r="L24" i="10"/>
  <c r="K24" i="10"/>
  <c r="R32" i="12"/>
  <c r="I32" i="12" s="1"/>
  <c r="R19" i="7"/>
  <c r="I19" i="7" s="1"/>
  <c r="L27" i="5"/>
  <c r="K27" i="5"/>
  <c r="R21" i="11"/>
  <c r="I21" i="11" s="1"/>
  <c r="R24" i="10"/>
  <c r="I24" i="10" s="1"/>
  <c r="R28" i="5"/>
  <c r="I28" i="5" s="1"/>
  <c r="R27" i="11"/>
  <c r="I27" i="11" s="1"/>
  <c r="R34" i="11"/>
  <c r="I34" i="11" s="1"/>
  <c r="R22" i="13"/>
  <c r="I22" i="13" s="1"/>
  <c r="R30" i="10"/>
  <c r="I30" i="10" s="1"/>
  <c r="R25" i="13"/>
  <c r="I25" i="13" s="1"/>
  <c r="R34" i="13"/>
  <c r="I34" i="13" s="1"/>
  <c r="R36" i="5"/>
  <c r="I36" i="5" s="1"/>
  <c r="R23" i="10"/>
  <c r="I23" i="10" s="1"/>
  <c r="L21" i="10"/>
  <c r="K21" i="10"/>
  <c r="K24" i="5"/>
  <c r="L24" i="5"/>
  <c r="R24" i="13"/>
  <c r="I24" i="13" s="1"/>
  <c r="L24" i="7"/>
  <c r="K24" i="7"/>
  <c r="R28" i="10"/>
  <c r="I28" i="10" s="1"/>
  <c r="R40" i="5"/>
  <c r="I40" i="5" s="1"/>
  <c r="R29" i="11"/>
  <c r="I29" i="11" s="1"/>
  <c r="R19" i="10"/>
  <c r="I19" i="10" s="1"/>
  <c r="R37" i="13"/>
  <c r="I37" i="13" s="1"/>
  <c r="R20" i="12"/>
  <c r="I20" i="12" s="1"/>
  <c r="R20" i="13"/>
  <c r="I20" i="13" s="1"/>
  <c r="R25" i="5"/>
  <c r="I25" i="5" s="1"/>
  <c r="R36" i="11"/>
  <c r="I36" i="11" s="1"/>
  <c r="L23" i="7"/>
  <c r="K23" i="7"/>
  <c r="R41" i="11"/>
  <c r="I41" i="11" s="1"/>
  <c r="R30" i="5"/>
  <c r="I30" i="5" s="1"/>
  <c r="L28" i="7"/>
  <c r="K28" i="7"/>
  <c r="R29" i="5"/>
  <c r="I29" i="5" s="1"/>
  <c r="R31" i="12"/>
  <c r="I31" i="12" s="1"/>
  <c r="L25" i="7"/>
  <c r="K25" i="7"/>
  <c r="R37" i="10"/>
  <c r="I37" i="10" s="1"/>
  <c r="R38" i="7"/>
  <c r="I38" i="7" s="1"/>
  <c r="R39" i="7"/>
  <c r="I39" i="7" s="1"/>
  <c r="R39" i="12"/>
  <c r="I39" i="12" s="1"/>
  <c r="R27" i="12"/>
  <c r="I27" i="12" s="1"/>
  <c r="R23" i="13"/>
  <c r="I23" i="13" s="1"/>
  <c r="R38" i="13"/>
  <c r="I38" i="13" s="1"/>
  <c r="R35" i="7"/>
  <c r="I35" i="7" s="1"/>
  <c r="S74" i="10"/>
  <c r="R29" i="13"/>
  <c r="I29" i="13" s="1"/>
  <c r="R40" i="13"/>
  <c r="I40" i="13" s="1"/>
  <c r="L20" i="10"/>
  <c r="K20" i="10"/>
  <c r="R38" i="5"/>
  <c r="I38" i="5" s="1"/>
  <c r="R37" i="5"/>
  <c r="I37" i="5" s="1"/>
  <c r="R19" i="11"/>
  <c r="I19" i="11" s="1"/>
  <c r="R37" i="7"/>
  <c r="I37" i="7" s="1"/>
  <c r="R31" i="5"/>
  <c r="I31" i="5" s="1"/>
  <c r="R19" i="5"/>
  <c r="I19" i="5" s="1"/>
  <c r="R32" i="7"/>
  <c r="I32" i="7" s="1"/>
  <c r="R21" i="12"/>
  <c r="I21" i="12" s="1"/>
  <c r="R21" i="5"/>
  <c r="I21" i="5" s="1"/>
  <c r="R29" i="12"/>
  <c r="I29" i="12" s="1"/>
  <c r="R35" i="13"/>
  <c r="I35" i="13" s="1"/>
  <c r="L18" i="10"/>
  <c r="K18" i="10"/>
  <c r="R31" i="13"/>
  <c r="I31" i="13" s="1"/>
  <c r="R39" i="5"/>
  <c r="I39" i="5" s="1"/>
  <c r="L26" i="10"/>
  <c r="K26" i="10"/>
  <c r="R33" i="13"/>
  <c r="I33" i="13" s="1"/>
  <c r="R38" i="10"/>
  <c r="I38" i="10" s="1"/>
  <c r="L28" i="10"/>
  <c r="K28" i="10"/>
  <c r="R23" i="5"/>
  <c r="I23" i="5" s="1"/>
  <c r="R25" i="7"/>
  <c r="I25" i="7" s="1"/>
  <c r="R32" i="5"/>
  <c r="I32" i="5" s="1"/>
  <c r="K28" i="5"/>
  <c r="L28" i="5"/>
  <c r="R33" i="12"/>
  <c r="I33" i="12" s="1"/>
  <c r="R41" i="7"/>
  <c r="I41" i="7" s="1"/>
  <c r="R35" i="5"/>
  <c r="I35" i="5" s="1"/>
  <c r="R36" i="13"/>
  <c r="I36" i="13" s="1"/>
  <c r="R26" i="5"/>
  <c r="I26" i="5" s="1"/>
  <c r="R32" i="11"/>
  <c r="I32" i="11" s="1"/>
  <c r="R22" i="10"/>
  <c r="I22" i="10" s="1"/>
  <c r="L20" i="7"/>
  <c r="K20" i="7"/>
  <c r="R31" i="10"/>
  <c r="I31" i="10" s="1"/>
  <c r="R22" i="5"/>
  <c r="I22" i="5" s="1"/>
  <c r="K19" i="5"/>
  <c r="L19" i="5"/>
  <c r="R28" i="11"/>
  <c r="I28" i="11" s="1"/>
  <c r="R22" i="7"/>
  <c r="I22" i="7" s="1"/>
  <c r="R23" i="7"/>
  <c r="I23" i="7" s="1"/>
  <c r="R27" i="5"/>
  <c r="I27" i="5" s="1"/>
  <c r="R20" i="11"/>
  <c r="I20" i="11" s="1"/>
  <c r="R41" i="5"/>
  <c r="I41" i="5" s="1"/>
  <c r="R33" i="7"/>
  <c r="I33" i="7" s="1"/>
  <c r="L22" i="7"/>
  <c r="K22" i="7"/>
  <c r="R24" i="11"/>
  <c r="I24" i="11" s="1"/>
  <c r="R21" i="10"/>
  <c r="I21" i="10" s="1"/>
  <c r="R20" i="7"/>
  <c r="I20" i="7" s="1"/>
  <c r="L23" i="5"/>
  <c r="K23" i="5"/>
  <c r="R23" i="12"/>
  <c r="I23" i="12" s="1"/>
  <c r="R24" i="12"/>
  <c r="I24" i="12" s="1"/>
  <c r="R37" i="11"/>
  <c r="I37" i="11" s="1"/>
  <c r="R39" i="13"/>
  <c r="I39" i="13" s="1"/>
  <c r="R20" i="5"/>
  <c r="I20" i="5" s="1"/>
  <c r="R30" i="11"/>
  <c r="I30" i="11" s="1"/>
  <c r="L20" i="5"/>
  <c r="K20" i="5"/>
  <c r="R29" i="10"/>
  <c r="I29" i="10" s="1"/>
  <c r="L21" i="5"/>
  <c r="K21" i="5"/>
  <c r="R27" i="10"/>
  <c r="I27" i="10" s="1"/>
  <c r="K22" i="10"/>
  <c r="L22" i="10"/>
  <c r="R26" i="10"/>
  <c r="I26" i="10" s="1"/>
  <c r="R29" i="7"/>
  <c r="I29" i="7" s="1"/>
  <c r="R27" i="7"/>
  <c r="I27" i="7" s="1"/>
  <c r="R21" i="7"/>
  <c r="I21" i="7" s="1"/>
  <c r="K23" i="10"/>
  <c r="L23" i="10"/>
  <c r="R22" i="12"/>
  <c r="I22" i="12" s="1"/>
  <c r="R20" i="10"/>
  <c r="I20" i="10" s="1"/>
  <c r="R25" i="12"/>
  <c r="I25" i="12" s="1"/>
  <c r="R31" i="11"/>
  <c r="I31" i="11" s="1"/>
  <c r="L19" i="7"/>
  <c r="K19" i="7"/>
  <c r="R34" i="12"/>
  <c r="I34" i="12" s="1"/>
  <c r="K22" i="5"/>
  <c r="L22" i="5"/>
  <c r="R22" i="11"/>
  <c r="I22" i="11" s="1"/>
  <c r="R30" i="13"/>
  <c r="I30" i="13" s="1"/>
  <c r="R23" i="11"/>
  <c r="I23" i="11" s="1"/>
  <c r="R36" i="12"/>
  <c r="I36" i="12" s="1"/>
  <c r="L26" i="5"/>
  <c r="K26" i="5"/>
  <c r="R40" i="7"/>
  <c r="I40" i="7" s="1"/>
  <c r="L25" i="5"/>
  <c r="K25" i="5"/>
  <c r="R35" i="10"/>
  <c r="I35" i="10" s="1"/>
  <c r="R32" i="13"/>
  <c r="I32" i="13" s="1"/>
  <c r="R19" i="12"/>
  <c r="I19" i="12" s="1"/>
  <c r="R28" i="12"/>
  <c r="I28" i="12" s="1"/>
  <c r="R40" i="12"/>
  <c r="I40" i="12" s="1"/>
  <c r="R26" i="7"/>
  <c r="I26" i="7" s="1"/>
  <c r="R25" i="10"/>
  <c r="I25" i="10" s="1"/>
  <c r="R36" i="10"/>
  <c r="I36" i="10" s="1"/>
  <c r="R33" i="11"/>
  <c r="I33" i="11" s="1"/>
  <c r="K25" i="10"/>
  <c r="L25" i="10"/>
  <c r="K27" i="7"/>
  <c r="L27" i="7"/>
  <c r="L21" i="7"/>
  <c r="K21" i="7"/>
  <c r="R25" i="11"/>
  <c r="I25" i="11" s="1"/>
  <c r="R35" i="11"/>
  <c r="I35" i="11" s="1"/>
  <c r="R34" i="5"/>
  <c r="I34" i="5" s="1"/>
  <c r="R30" i="7"/>
  <c r="I30" i="7" s="1"/>
  <c r="R30" i="12"/>
  <c r="I30" i="12" s="1"/>
  <c r="R19" i="13"/>
  <c r="I19" i="13" s="1"/>
  <c r="R35" i="12"/>
  <c r="I35" i="12" s="1"/>
  <c r="R38" i="11"/>
  <c r="I38" i="11" s="1"/>
  <c r="AG8" i="4"/>
  <c r="AB16" i="4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V16" i="4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Y16" i="4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AC16" i="4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A16" i="4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Z16" i="4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G12" i="15"/>
  <c r="G13" i="15"/>
  <c r="G11" i="15"/>
  <c r="E10" i="16"/>
  <c r="F10" i="16" s="1"/>
  <c r="E7" i="16"/>
  <c r="F7" i="16" s="1"/>
  <c r="E6" i="16"/>
  <c r="F6" i="16" s="1"/>
  <c r="W9" i="16"/>
  <c r="AN10" i="4" l="1"/>
  <c r="AL38" i="4"/>
  <c r="AL39" i="4" s="1"/>
  <c r="AL40" i="4" s="1"/>
  <c r="AL41" i="4" s="1"/>
  <c r="AK34" i="4"/>
  <c r="AG9" i="4"/>
  <c r="E11" i="16"/>
  <c r="F11" i="16" s="1"/>
  <c r="E8" i="16"/>
  <c r="F8" i="16" s="1"/>
  <c r="E5" i="16"/>
  <c r="F5" i="16" s="1"/>
  <c r="AW6" i="4"/>
  <c r="AW5" i="4"/>
  <c r="W10" i="16"/>
  <c r="AL42" i="4" l="1"/>
  <c r="AL43" i="4" s="1"/>
  <c r="AL44" i="4" s="1"/>
  <c r="AL45" i="4" s="1"/>
  <c r="AL46" i="4" s="1"/>
  <c r="AL47" i="4" s="1"/>
  <c r="AL48" i="4" s="1"/>
  <c r="AL49" i="4" s="1"/>
  <c r="AL50" i="4" s="1"/>
  <c r="AL51" i="4" s="1"/>
  <c r="E19" i="16" s="1"/>
  <c r="F19" i="16" s="1"/>
  <c r="AN11" i="4"/>
  <c r="AK35" i="4"/>
  <c r="AG10" i="4"/>
  <c r="AN12" i="4" l="1"/>
  <c r="AK36" i="4"/>
  <c r="AG11" i="4"/>
  <c r="E14" i="16"/>
  <c r="F14" i="16" s="1"/>
  <c r="AN13" i="4" l="1"/>
  <c r="AK37" i="4"/>
  <c r="AG12" i="4"/>
  <c r="AW10" i="4"/>
  <c r="AW9" i="4"/>
  <c r="AN14" i="4" l="1"/>
  <c r="AK38" i="4"/>
  <c r="AK39" i="4" s="1"/>
  <c r="AK40" i="4" s="1"/>
  <c r="AK41" i="4" s="1"/>
  <c r="AG13" i="4"/>
  <c r="E12" i="16"/>
  <c r="F12" i="16" s="1"/>
  <c r="E9" i="16"/>
  <c r="F9" i="16" s="1"/>
  <c r="AW8" i="4"/>
  <c r="AK42" i="4" l="1"/>
  <c r="AK43" i="4" s="1"/>
  <c r="AK44" i="4" s="1"/>
  <c r="AK45" i="4" s="1"/>
  <c r="AK46" i="4" s="1"/>
  <c r="AK47" i="4" s="1"/>
  <c r="AK48" i="4" s="1"/>
  <c r="AK49" i="4" s="1"/>
  <c r="AK50" i="4" s="1"/>
  <c r="AK51" i="4" s="1"/>
  <c r="E18" i="16" s="1"/>
  <c r="F18" i="16" s="1"/>
  <c r="AN15" i="4"/>
  <c r="AG14" i="4"/>
  <c r="AW7" i="4"/>
  <c r="AN16" i="4" l="1"/>
  <c r="AG15" i="4"/>
  <c r="AJ12" i="16"/>
  <c r="AN17" i="4" l="1"/>
  <c r="AG16" i="4"/>
  <c r="AJ13" i="16"/>
  <c r="AW12" i="4"/>
  <c r="AW14" i="4"/>
  <c r="AW11" i="4"/>
  <c r="AN18" i="4" l="1"/>
  <c r="AG17" i="4"/>
  <c r="AJ14" i="16"/>
  <c r="AW13" i="4"/>
  <c r="AN19" i="4" l="1"/>
  <c r="AG18" i="4"/>
  <c r="AJ15" i="16"/>
  <c r="AW15" i="4"/>
  <c r="AN20" i="4" l="1"/>
  <c r="AG19" i="4"/>
  <c r="AJ16" i="16"/>
  <c r="AN21" i="4" l="1"/>
  <c r="AG20" i="4"/>
  <c r="AJ17" i="16"/>
  <c r="AW16" i="4"/>
  <c r="AN22" i="4" l="1"/>
  <c r="AJ20" i="16"/>
  <c r="AJ19" i="16"/>
  <c r="AG21" i="4"/>
  <c r="AI12" i="16"/>
  <c r="AJ18" i="16"/>
  <c r="AW17" i="4"/>
  <c r="AI13" i="16" s="1"/>
  <c r="AN23" i="4" l="1"/>
  <c r="AJ21" i="16"/>
  <c r="AG22" i="4"/>
  <c r="AW18" i="4"/>
  <c r="AI14" i="16" s="1"/>
  <c r="AN24" i="4" l="1"/>
  <c r="AG23" i="4"/>
  <c r="AW19" i="4"/>
  <c r="AN25" i="4" l="1"/>
  <c r="AJ22" i="16"/>
  <c r="AG24" i="4"/>
  <c r="AI15" i="16"/>
  <c r="AW20" i="4"/>
  <c r="AI16" i="16" s="1"/>
  <c r="AN26" i="4" l="1"/>
  <c r="AJ23" i="16"/>
  <c r="AG25" i="4"/>
  <c r="AW21" i="4"/>
  <c r="AN27" i="4" l="1"/>
  <c r="AJ24" i="16"/>
  <c r="AG26" i="4"/>
  <c r="AI17" i="16"/>
  <c r="AW22" i="4"/>
  <c r="AN28" i="4" l="1"/>
  <c r="AJ25" i="16"/>
  <c r="AG27" i="4"/>
  <c r="AI18" i="16"/>
  <c r="AW23" i="4"/>
  <c r="AI19" i="16" s="1"/>
  <c r="AT26" i="4"/>
  <c r="AT25" i="4"/>
  <c r="AT24" i="4"/>
  <c r="AN29" i="4" l="1"/>
  <c r="AJ26" i="16"/>
  <c r="AG28" i="4"/>
  <c r="AW26" i="4"/>
  <c r="AI22" i="16" s="1"/>
  <c r="AW24" i="4"/>
  <c r="AW25" i="4"/>
  <c r="AI21" i="16" s="1"/>
  <c r="AT27" i="4"/>
  <c r="AN30" i="4" l="1"/>
  <c r="AJ27" i="16"/>
  <c r="AI20" i="16"/>
  <c r="AG29" i="4"/>
  <c r="AW27" i="4"/>
  <c r="AI23" i="16" s="1"/>
  <c r="AN31" i="4" l="1"/>
  <c r="AJ28" i="16"/>
  <c r="AG30" i="4"/>
  <c r="AT28" i="4"/>
  <c r="AN32" i="4" l="1"/>
  <c r="AJ29" i="16"/>
  <c r="AG31" i="4"/>
  <c r="AW28" i="4"/>
  <c r="AT29" i="4"/>
  <c r="AN33" i="4" l="1"/>
  <c r="AJ30" i="16"/>
  <c r="AI24" i="16"/>
  <c r="E17" i="16"/>
  <c r="F17" i="16" s="1"/>
  <c r="E15" i="16"/>
  <c r="F15" i="16" s="1"/>
  <c r="AG32" i="4"/>
  <c r="E16" i="16"/>
  <c r="F16" i="16" s="1"/>
  <c r="AW29" i="4"/>
  <c r="AT30" i="4"/>
  <c r="AJ5" i="16" l="1"/>
  <c r="AN34" i="4"/>
  <c r="AI25" i="16"/>
  <c r="AJ6" i="16"/>
  <c r="AJ31" i="16"/>
  <c r="AG33" i="4"/>
  <c r="AW30" i="4"/>
  <c r="AT31" i="4"/>
  <c r="AN35" i="4" l="1"/>
  <c r="AI26" i="16"/>
  <c r="AG34" i="4"/>
  <c r="AW31" i="4"/>
  <c r="AT32" i="4"/>
  <c r="AJ7" i="16" l="1"/>
  <c r="AN36" i="4"/>
  <c r="AI27" i="16"/>
  <c r="AG35" i="4"/>
  <c r="AW32" i="4"/>
  <c r="AJ8" i="16" l="1"/>
  <c r="AN37" i="4"/>
  <c r="AG36" i="4"/>
  <c r="AI28" i="16"/>
  <c r="AT33" i="4"/>
  <c r="AJ9" i="16" l="1"/>
  <c r="AN38" i="4"/>
  <c r="AG37" i="4"/>
  <c r="AW33" i="4"/>
  <c r="AT34" i="4"/>
  <c r="AU47" i="4" l="1"/>
  <c r="AU48" i="4" s="1"/>
  <c r="AU49" i="4" s="1"/>
  <c r="AU50" i="4" s="1"/>
  <c r="AU51" i="4" s="1"/>
  <c r="AJ10" i="16"/>
  <c r="AN39" i="4"/>
  <c r="AG38" i="4"/>
  <c r="AG39" i="4" s="1"/>
  <c r="AG40" i="4" s="1"/>
  <c r="AG41" i="4" s="1"/>
  <c r="AI29" i="16"/>
  <c r="AW34" i="4"/>
  <c r="AT35" i="4"/>
  <c r="AG42" i="4" l="1"/>
  <c r="AG43" i="4" s="1"/>
  <c r="AG44" i="4" s="1"/>
  <c r="AG45" i="4" s="1"/>
  <c r="AG46" i="4" s="1"/>
  <c r="AG47" i="4" s="1"/>
  <c r="AG48" i="4" s="1"/>
  <c r="AG49" i="4" s="1"/>
  <c r="AG50" i="4" s="1"/>
  <c r="AG51" i="4" s="1"/>
  <c r="E13" i="16" s="1"/>
  <c r="F13" i="16" s="1"/>
  <c r="AJ11" i="16"/>
  <c r="F6" i="15"/>
  <c r="G6" i="15"/>
  <c r="AN40" i="4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I30" i="16"/>
  <c r="AW35" i="4"/>
  <c r="AT36" i="4"/>
  <c r="E21" i="16" l="1"/>
  <c r="F21" i="16" s="1"/>
  <c r="E22" i="16"/>
  <c r="F22" i="16" s="1"/>
  <c r="AI31" i="16"/>
  <c r="AW36" i="4"/>
  <c r="AT37" i="4"/>
  <c r="F27" i="16" l="1"/>
  <c r="D12" i="15" s="1"/>
  <c r="C10" i="15"/>
  <c r="C11" i="15"/>
  <c r="C12" i="15"/>
  <c r="AW37" i="4"/>
  <c r="D11" i="15" l="1"/>
  <c r="D10" i="15"/>
  <c r="AT41" i="4"/>
  <c r="AT38" i="4"/>
  <c r="AT39" i="4"/>
  <c r="AW38" i="4" l="1"/>
  <c r="AW39" i="4"/>
  <c r="AW41" i="4"/>
  <c r="AT40" i="4"/>
  <c r="AW40" i="4" l="1"/>
  <c r="AT43" i="4"/>
  <c r="AT49" i="4"/>
  <c r="AT44" i="4"/>
  <c r="AT42" i="4"/>
  <c r="AT46" i="4"/>
  <c r="AT48" i="4"/>
  <c r="AT45" i="4"/>
  <c r="AT47" i="4"/>
  <c r="AT50" i="4"/>
  <c r="AT51" i="4"/>
  <c r="AW51" i="4" l="1"/>
  <c r="F5" i="15" s="1"/>
  <c r="AW50" i="4"/>
  <c r="AW47" i="4"/>
  <c r="AW45" i="4"/>
  <c r="AW48" i="4"/>
  <c r="AW46" i="4"/>
  <c r="AW42" i="4"/>
  <c r="AW44" i="4"/>
  <c r="AW49" i="4"/>
  <c r="AW43" i="4"/>
  <c r="AI10" i="16" s="1"/>
  <c r="AI6" i="16" l="1"/>
  <c r="AI5" i="16"/>
  <c r="AI8" i="16"/>
  <c r="AI7" i="16"/>
  <c r="AI11" i="16"/>
  <c r="AI9" i="16"/>
  <c r="G5" i="15"/>
</calcChain>
</file>

<file path=xl/sharedStrings.xml><?xml version="1.0" encoding="utf-8"?>
<sst xmlns="http://schemas.openxmlformats.org/spreadsheetml/2006/main" count="1213" uniqueCount="406">
  <si>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</si>
  <si>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</si>
  <si>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</si>
  <si>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</si>
  <si>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</si>
  <si>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</si>
  <si>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</si>
  <si>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</si>
  <si>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</si>
  <si>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</si>
  <si>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</si>
  <si>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</si>
  <si>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</si>
  <si>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</si>
  <si>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</si>
  <si>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</si>
  <si>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</si>
  <si>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</si>
  <si>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</si>
  <si>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</si>
  <si>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</si>
  <si>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</si>
  <si>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</si>
  <si>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</si>
  <si>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</si>
  <si>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</si>
  <si>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</si>
  <si>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</si>
  <si>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</si>
  <si>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</si>
  <si>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</si>
  <si>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</si>
  <si>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</si>
  <si>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</si>
  <si>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</si>
  <si>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</si>
  <si>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</si>
  <si>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</si>
  <si>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</si>
  <si>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</si>
  <si>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</si>
  <si>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</si>
  <si>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</si>
  <si>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</si>
  <si>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</si>
  <si>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</si>
  <si>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</si>
  <si>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</si>
  <si>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</si>
  <si>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</si>
  <si>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</si>
  <si>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</si>
  <si>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</si>
  <si>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</si>
  <si>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</si>
  <si>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</si>
  <si>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</si>
  <si>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</si>
  <si>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</si>
  <si>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</si>
  <si>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</si>
  <si>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</si>
  <si>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</si>
  <si>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</si>
  <si>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</si>
  <si>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</si>
  <si>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</si>
  <si>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</si>
  <si>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</si>
  <si>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</si>
  <si>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</si>
  <si>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</si>
  <si>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</si>
  <si>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</si>
  <si>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</si>
  <si>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</si>
  <si>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</si>
  <si>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</si>
  <si>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</si>
  <si>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</si>
  <si>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</si>
  <si>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</si>
  <si>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</si>
  <si>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</si>
  <si>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</si>
  <si>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</si>
  <si>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</si>
  <si>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</si>
  <si>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</si>
  <si>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</si>
  <si>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</si>
  <si>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</si>
  <si>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</si>
  <si>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</si>
  <si>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</si>
  <si>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</si>
  <si>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</si>
  <si>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</si>
  <si>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</si>
  <si>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</si>
  <si>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</si>
  <si>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</si>
  <si>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</si>
  <si>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</si>
  <si>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</si>
  <si>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</si>
  <si>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</si>
  <si>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</si>
  <si>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</si>
  <si>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</si>
  <si>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</si>
  <si>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</si>
  <si>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</si>
  <si>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</si>
  <si>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</si>
  <si>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</si>
  <si>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</si>
  <si>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</si>
  <si>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</si>
  <si>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</si>
  <si>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</si>
  <si>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</si>
  <si>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</si>
  <si>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</si>
  <si>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</si>
  <si>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</si>
  <si>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</si>
  <si>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</si>
  <si>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</si>
  <si>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</si>
  <si>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</si>
  <si>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</si>
  <si>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</si>
  <si>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</si>
  <si>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</si>
  <si>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</si>
  <si>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</si>
  <si>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</si>
  <si>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</si>
  <si>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</si>
  <si>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</si>
  <si>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</si>
  <si>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</si>
  <si>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</si>
  <si>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</si>
  <si>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</si>
  <si>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</si>
  <si>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</si>
  <si>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</si>
  <si>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</si>
  <si>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</si>
  <si>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</si>
  <si>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</si>
  <si>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</si>
  <si>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</si>
  <si>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</si>
  <si>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</si>
  <si>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</si>
  <si>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</si>
  <si>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</si>
  <si>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</si>
  <si>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</si>
  <si>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</si>
  <si>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</si>
  <si>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</si>
  <si>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</si>
  <si>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</si>
  <si>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</si>
  <si>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</si>
  <si>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</si>
  <si>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</si>
  <si>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</si>
  <si>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</si>
  <si>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</si>
  <si>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</si>
  <si>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</si>
  <si>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</si>
  <si>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</si>
  <si>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</si>
  <si>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</si>
  <si>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</si>
  <si>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</si>
  <si>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</si>
  <si>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</si>
  <si>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</si>
  <si>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</si>
  <si>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</si>
  <si>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</si>
  <si>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</si>
  <si>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</si>
  <si>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</si>
  <si>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</si>
  <si>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</si>
  <si>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</si>
  <si>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</si>
  <si>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</si>
  <si>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</si>
  <si>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</si>
  <si>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</si>
  <si>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</si>
  <si>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</si>
  <si>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</si>
  <si>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</si>
  <si>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</si>
  <si>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</si>
  <si>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</si>
  <si>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</si>
  <si>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</si>
  <si>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</si>
  <si>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</si>
  <si>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</si>
  <si>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</si>
  <si>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</si>
  <si>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</si>
  <si>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</si>
  <si>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</si>
  <si>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</si>
  <si>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</si>
  <si>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</si>
  <si>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</si>
  <si>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</si>
  <si>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</si>
  <si>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</si>
  <si>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</si>
  <si>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</si>
  <si>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</si>
  <si>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</si>
  <si>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</si>
  <si>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</si>
  <si>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</si>
  <si>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</si>
  <si>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</si>
  <si>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</si>
  <si>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</si>
  <si>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</si>
  <si>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</si>
  <si>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</si>
  <si>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</si>
  <si>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</si>
  <si>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</si>
  <si>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</si>
  <si>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</si>
  <si>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</si>
  <si>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</si>
  <si>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</si>
  <si>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</si>
  <si>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</si>
  <si>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</si>
  <si>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</si>
  <si>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</si>
  <si>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</si>
  <si>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</si>
  <si>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</si>
  <si>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</si>
  <si>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</si>
  <si>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</si>
  <si>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</si>
  <si>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</si>
  <si>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</si>
  <si>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</si>
  <si>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</si>
  <si>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</si>
  <si>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</si>
  <si>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</si>
  <si>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</si>
  <si>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</si>
  <si>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</si>
  <si>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</si>
  <si>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</si>
  <si>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</si>
  <si>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</si>
  <si>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</si>
  <si>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</si>
  <si>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</si>
  <si>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</si>
  <si>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</si>
  <si>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</si>
  <si>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</si>
  <si>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</si>
  <si>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</si>
  <si>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</si>
  <si>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</si>
  <si>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</si>
  <si>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</si>
  <si>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</si>
  <si>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</si>
  <si>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</si>
  <si>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</si>
  <si>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</si>
  <si>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</si>
  <si>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</si>
  <si>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</si>
  <si>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</si>
  <si>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</si>
  <si>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</si>
  <si>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</si>
  <si>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</si>
  <si>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</si>
  <si>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</si>
  <si>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</si>
  <si>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</si>
  <si>
    <t>STEP 1</t>
  </si>
  <si>
    <t>Right-click and format control</t>
  </si>
  <si>
    <t>Change maximum value to be [# of rows in position table]-6</t>
  </si>
  <si>
    <t>For example, as # of rows = 18 -&gt; Maximum value = 18-6 = 12</t>
  </si>
  <si>
    <t>If there are new stocks that need to be included, make sure to do the following:</t>
  </si>
  <si>
    <t>1. Construct a new sheet called XXX (name of stock), and make the new table called tbl_XXX</t>
  </si>
  <si>
    <t>2. Insert new row in lookup (symbol) with stock XXX</t>
  </si>
  <si>
    <t>3. In position table, insert two columns, corresponding to the price and # of shares.</t>
  </si>
  <si>
    <t xml:space="preserve">    If inserted correctly, the calculation in last columns will work.</t>
  </si>
  <si>
    <t>4. Insert new stock in dashboard_backend sheet (table 1: stock holding)</t>
  </si>
  <si>
    <t>10/7/20 12:34p</t>
  </si>
  <si>
    <t>AMD</t>
  </si>
  <si>
    <t>10/7/20 12:50p</t>
  </si>
  <si>
    <t>10/7/20 12:51p</t>
  </si>
  <si>
    <t>10/9/20 12:50p</t>
  </si>
  <si>
    <t>10/9/20 12:51p</t>
  </si>
  <si>
    <t>Price_AMD</t>
  </si>
  <si>
    <t>Shares_AMD</t>
  </si>
  <si>
    <t>AMD Data</t>
  </si>
  <si>
    <t>CVX Data</t>
  </si>
  <si>
    <t>CVX</t>
  </si>
  <si>
    <t>Price_CVX</t>
  </si>
  <si>
    <t>Shares_CVX</t>
  </si>
  <si>
    <t>10/12/20 2:46p</t>
  </si>
  <si>
    <t>10/12/20 3:12p</t>
  </si>
  <si>
    <t>10/12/20 3:13p</t>
  </si>
  <si>
    <t>10/12/20 3:15p</t>
  </si>
  <si>
    <t>QCOM</t>
  </si>
  <si>
    <t>QCOM Data</t>
  </si>
  <si>
    <t>Price_QCOM</t>
  </si>
  <si>
    <t>Shares_QCOM</t>
  </si>
  <si>
    <t>10/13/20 1:49p</t>
  </si>
  <si>
    <t>F Data</t>
  </si>
  <si>
    <t>F</t>
  </si>
  <si>
    <t>Price_F</t>
  </si>
  <si>
    <t>Shares_F</t>
  </si>
  <si>
    <t>10/13/20 2:52p</t>
  </si>
  <si>
    <t>10/19/20 11:04a</t>
  </si>
  <si>
    <t>10/19/20 11:05a</t>
  </si>
  <si>
    <t>10/21/20 10:17a</t>
  </si>
  <si>
    <t>LTHM</t>
  </si>
  <si>
    <t>Price_LTHM</t>
  </si>
  <si>
    <t>Shares_LTHM</t>
  </si>
  <si>
    <t>10/21/20 10:19a</t>
  </si>
  <si>
    <t>10/21/20 10:25a</t>
  </si>
  <si>
    <t>10/23/20 12:44p</t>
  </si>
  <si>
    <t>10/29/20 9:12a</t>
  </si>
  <si>
    <t>10/29/20 9:30a</t>
  </si>
  <si>
    <t>10/29/20 9:11a</t>
  </si>
  <si>
    <t>RCL</t>
  </si>
  <si>
    <t>RCL Data</t>
  </si>
  <si>
    <t>LTHM Data</t>
  </si>
  <si>
    <t>Price_RCL</t>
  </si>
  <si>
    <t>Shares_RCL</t>
  </si>
  <si>
    <t>10/29/20 9:07a</t>
  </si>
  <si>
    <t>10/29/20 9:08a</t>
  </si>
  <si>
    <t>10/29/20 9:31a</t>
  </si>
  <si>
    <t>10/29/20 9:04a</t>
  </si>
  <si>
    <t>OIL Data</t>
  </si>
  <si>
    <t>OIL</t>
  </si>
  <si>
    <t>Price_OIL</t>
  </si>
  <si>
    <t>Shares_OIL</t>
  </si>
  <si>
    <t>10/29/20 9:37a</t>
  </si>
  <si>
    <t>VIXY Data</t>
  </si>
  <si>
    <t>VIXY</t>
  </si>
  <si>
    <t>Price_VIXY</t>
  </si>
  <si>
    <t>Shares_VIXY</t>
  </si>
  <si>
    <t>10/29/20 9:57a</t>
  </si>
  <si>
    <t>10/29/20 9:39a</t>
  </si>
  <si>
    <t>10/29/30 9:39a</t>
  </si>
  <si>
    <t>10/29/20 9:41a</t>
  </si>
  <si>
    <t>10/29/20 10:18a</t>
  </si>
  <si>
    <t>10/29/20 10:24a</t>
  </si>
  <si>
    <t>10/29/20 10:45a</t>
  </si>
  <si>
    <t>10/29/20 10:46a</t>
  </si>
  <si>
    <t>10/29/20 12:05p</t>
  </si>
  <si>
    <t>11/2/20 5:21a</t>
  </si>
  <si>
    <t>11/2/20 9:30a</t>
  </si>
  <si>
    <t>11/3/20 11:15a</t>
  </si>
  <si>
    <t>LLNW Data</t>
  </si>
  <si>
    <t>LLNW</t>
  </si>
  <si>
    <t>Price_LLNW</t>
  </si>
  <si>
    <t>Shares_LLNW</t>
  </si>
  <si>
    <t>11/4/20 9:04a</t>
  </si>
  <si>
    <t>11/4/20 9:31a</t>
  </si>
  <si>
    <t>PLL Data</t>
  </si>
  <si>
    <t>PLL</t>
  </si>
  <si>
    <t>Price_PLL</t>
  </si>
  <si>
    <t>Shares_PLL</t>
  </si>
  <si>
    <t>11/4/20 8:47a</t>
  </si>
  <si>
    <t>11/4/20 9:32a</t>
  </si>
  <si>
    <t>11/6/20 11:20a</t>
  </si>
  <si>
    <t>11/6/20 11:07a</t>
  </si>
  <si>
    <t>11/6/20 11:16a</t>
  </si>
  <si>
    <t>APHA</t>
  </si>
  <si>
    <t>APHA Data</t>
  </si>
  <si>
    <t>Price_APHA</t>
  </si>
  <si>
    <t>Shares_APHA</t>
  </si>
  <si>
    <t>11/6/20 1:25p</t>
  </si>
  <si>
    <t>BEP</t>
  </si>
  <si>
    <t>BEP Data</t>
  </si>
  <si>
    <t>Price_BEP</t>
  </si>
  <si>
    <t>Shares_BEP</t>
  </si>
  <si>
    <t>11/6/20 1:26p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</si>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</sst>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  <xf numFmtId="44" fontId="38" fillId="0" borderId="0" xfId="1" applyNumberFormat="1" applyFont="1"/>
    <xf numFmtId="1" fontId="39" fillId="0" borderId="0" xfId="0" applyNumberFormat="1" applyFont="1"/>
    <xf numFmtId="14" fontId="39" fillId="0" borderId="0" xfId="0" applyNumberFormat="1" applyFont="1"/>
    <xf numFmtId="167" fontId="39" fillId="0" borderId="0" xfId="1" applyNumberFormat="1" applyFont="1"/>
    <xf numFmtId="0" fontId="39" fillId="0" borderId="0" xfId="0" applyFont="1"/>
    <xf numFmtId="44" fontId="40" fillId="0" borderId="0" xfId="1" applyNumberFormat="1" applyFont="1"/>
    <xf numFmtId="0" fontId="0" fillId="0" borderId="0" xfId="0" applyFill="1"/>
    <xf numFmtId="0" fontId="0" fillId="6" borderId="0" xfId="0" applyFill="1"/>
    <xf numFmtId="3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Currency" xfId="1" builtinId="4"/>
    <cellStyle name="Normal" xfId="0" builtinId="0"/>
  </cellStyles>
  <dxfs count="4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CC0099"/>
      <color rgb="FF008000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2093.8000000000002</c:v>
                </c:pt>
                <c:pt idx="1">
                  <c:v>2281.8000000000002</c:v>
                </c:pt>
                <c:pt idx="2">
                  <c:v>2088.6</c:v>
                </c:pt>
                <c:pt idx="3">
                  <c:v>2182.3000000000002</c:v>
                </c:pt>
                <c:pt idx="4">
                  <c:v>2800.2</c:v>
                </c:pt>
                <c:pt idx="5">
                  <c:v>3022.6</c:v>
                </c:pt>
                <c:pt idx="6">
                  <c:v>3368.2</c:v>
                </c:pt>
                <c:pt idx="7">
                  <c:v>6537</c:v>
                </c:pt>
                <c:pt idx="8">
                  <c:v>12386</c:v>
                </c:pt>
                <c:pt idx="9">
                  <c:v>6739.1</c:v>
                </c:pt>
                <c:pt idx="10">
                  <c:v>4434.8999999999996</c:v>
                </c:pt>
                <c:pt idx="11">
                  <c:v>3014</c:v>
                </c:pt>
                <c:pt idx="12">
                  <c:v>4179.6000000000004</c:v>
                </c:pt>
                <c:pt idx="13">
                  <c:v>1195.7090000000001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7432"/>
        <c:axId val="36542586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10.57</c:v>
                </c:pt>
                <c:pt idx="1">
                  <c:v>10.029999999999999</c:v>
                </c:pt>
                <c:pt idx="2">
                  <c:v>10.9</c:v>
                </c:pt>
                <c:pt idx="3">
                  <c:v>10.75</c:v>
                </c:pt>
                <c:pt idx="4">
                  <c:v>11.32</c:v>
                </c:pt>
                <c:pt idx="5">
                  <c:v>11.58</c:v>
                </c:pt>
                <c:pt idx="6">
                  <c:v>11.16</c:v>
                </c:pt>
                <c:pt idx="7">
                  <c:v>11.85</c:v>
                </c:pt>
                <c:pt idx="8">
                  <c:v>13.65</c:v>
                </c:pt>
                <c:pt idx="9">
                  <c:v>13.59</c:v>
                </c:pt>
                <c:pt idx="10">
                  <c:v>13.05</c:v>
                </c:pt>
                <c:pt idx="11">
                  <c:v>13.1</c:v>
                </c:pt>
                <c:pt idx="12">
                  <c:v>13.18</c:v>
                </c:pt>
                <c:pt idx="13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8608"/>
        <c:axId val="365431352"/>
      </c:lineChart>
      <c:catAx>
        <c:axId val="365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1352"/>
        <c:crosses val="autoZero"/>
        <c:auto val="1"/>
        <c:lblAlgn val="ctr"/>
        <c:lblOffset val="100"/>
        <c:noMultiLvlLbl val="0"/>
      </c:catAx>
      <c:valAx>
        <c:axId val="3654313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608"/>
        <c:crosses val="autoZero"/>
        <c:crossBetween val="between"/>
      </c:valAx>
      <c:valAx>
        <c:axId val="36542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432"/>
        <c:crosses val="max"/>
        <c:crossBetween val="between"/>
      </c:valAx>
      <c:catAx>
        <c:axId val="365427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6542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10.57</c:v>
                </c:pt>
                <c:pt idx="1">
                  <c:v>10.029999999999999</c:v>
                </c:pt>
                <c:pt idx="2">
                  <c:v>10.9</c:v>
                </c:pt>
                <c:pt idx="3">
                  <c:v>10.75</c:v>
                </c:pt>
                <c:pt idx="4">
                  <c:v>11.32</c:v>
                </c:pt>
                <c:pt idx="5">
                  <c:v>11.58</c:v>
                </c:pt>
                <c:pt idx="6">
                  <c:v>11.16</c:v>
                </c:pt>
                <c:pt idx="7">
                  <c:v>11.85</c:v>
                </c:pt>
                <c:pt idx="8">
                  <c:v>13.65</c:v>
                </c:pt>
                <c:pt idx="9">
                  <c:v>13.59</c:v>
                </c:pt>
                <c:pt idx="10">
                  <c:v>13.05</c:v>
                </c:pt>
                <c:pt idx="11">
                  <c:v>13.1</c:v>
                </c:pt>
                <c:pt idx="12">
                  <c:v>13.18</c:v>
                </c:pt>
                <c:pt idx="13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10.428615387733478</c:v>
                </c:pt>
                <c:pt idx="1">
                  <c:v>10.38875384896013</c:v>
                </c:pt>
                <c:pt idx="2">
                  <c:v>10.439878464064117</c:v>
                </c:pt>
                <c:pt idx="3">
                  <c:v>10.470890617657705</c:v>
                </c:pt>
                <c:pt idx="4">
                  <c:v>10.555801555891934</c:v>
                </c:pt>
                <c:pt idx="5">
                  <c:v>10.65822140030274</c:v>
                </c:pt>
                <c:pt idx="6">
                  <c:v>10.708399260272465</c:v>
                </c:pt>
                <c:pt idx="7">
                  <c:v>10.82255933424522</c:v>
                </c:pt>
                <c:pt idx="8">
                  <c:v>11.105303400820699</c:v>
                </c:pt>
                <c:pt idx="9">
                  <c:v>11.353773060738629</c:v>
                </c:pt>
                <c:pt idx="10">
                  <c:v>11.523395754664765</c:v>
                </c:pt>
                <c:pt idx="11">
                  <c:v>11.68105617919829</c:v>
                </c:pt>
                <c:pt idx="12">
                  <c:v>11.830950561278462</c:v>
                </c:pt>
                <c:pt idx="13">
                  <c:v>11.992855505150615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7824"/>
        <c:axId val="365426648"/>
      </c:lineChart>
      <c:catAx>
        <c:axId val="365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6648"/>
        <c:crosses val="autoZero"/>
        <c:auto val="1"/>
        <c:lblAlgn val="ctr"/>
        <c:lblOffset val="100"/>
        <c:noMultiLvlLbl val="0"/>
      </c:catAx>
      <c:valAx>
        <c:axId val="36542664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29.532163742690045</c:v>
                </c:pt>
                <c:pt idx="1">
                  <c:v>27.223719676549848</c:v>
                </c:pt>
                <c:pt idx="2">
                  <c:v>43.822843822843836</c:v>
                </c:pt>
                <c:pt idx="3">
                  <c:v>46.078431372549019</c:v>
                </c:pt>
                <c:pt idx="4">
                  <c:v>53.376906318082796</c:v>
                </c:pt>
                <c:pt idx="5">
                  <c:v>55.991735537190081</c:v>
                </c:pt>
                <c:pt idx="6">
                  <c:v>51.816443594646266</c:v>
                </c:pt>
                <c:pt idx="7">
                  <c:v>65.891472868217022</c:v>
                </c:pt>
                <c:pt idx="8">
                  <c:v>75.36231884057969</c:v>
                </c:pt>
                <c:pt idx="9">
                  <c:v>73.809523809523796</c:v>
                </c:pt>
                <c:pt idx="10">
                  <c:v>65.568862275449106</c:v>
                </c:pt>
                <c:pt idx="11">
                  <c:v>69.654088050314471</c:v>
                </c:pt>
                <c:pt idx="12">
                  <c:v>69.12</c:v>
                </c:pt>
                <c:pt idx="13">
                  <c:v>72.28346456692914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8216"/>
        <c:axId val="365430960"/>
      </c:lineChart>
      <c:catAx>
        <c:axId val="3654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0960"/>
        <c:crosses val="autoZero"/>
        <c:auto val="1"/>
        <c:lblAlgn val="ctr"/>
        <c:lblOffset val="100"/>
        <c:noMultiLvlLbl val="0"/>
      </c:catAx>
      <c:valAx>
        <c:axId val="365430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10.821428571428571</c:v>
                </c:pt>
                <c:pt idx="1">
                  <c:v>10.700714285714286</c:v>
                </c:pt>
                <c:pt idx="2">
                  <c:v>10.662857142857144</c:v>
                </c:pt>
                <c:pt idx="3">
                  <c:v>10.64</c:v>
                </c:pt>
                <c:pt idx="4">
                  <c:v>10.662142857142856</c:v>
                </c:pt>
                <c:pt idx="5">
                  <c:v>10.703571428571431</c:v>
                </c:pt>
                <c:pt idx="6">
                  <c:v>10.717142857142859</c:v>
                </c:pt>
                <c:pt idx="7">
                  <c:v>10.834285714285715</c:v>
                </c:pt>
                <c:pt idx="8">
                  <c:v>11.084285714285715</c:v>
                </c:pt>
                <c:pt idx="9">
                  <c:v>11.312857142857144</c:v>
                </c:pt>
                <c:pt idx="10">
                  <c:v>11.46142857142857</c:v>
                </c:pt>
                <c:pt idx="11">
                  <c:v>11.639999999999999</c:v>
                </c:pt>
                <c:pt idx="12">
                  <c:v>11.810714285714285</c:v>
                </c:pt>
                <c:pt idx="13">
                  <c:v>12.012857142857143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11.701248732872667</c:v>
                </c:pt>
                <c:pt idx="1">
                  <c:v>11.510404227727772</c:v>
                </c:pt>
                <c:pt idx="2">
                  <c:v>11.368545179028654</c:v>
                </c:pt>
                <c:pt idx="3">
                  <c:v>11.308638110697352</c:v>
                </c:pt>
                <c:pt idx="4">
                  <c:v>11.400464386910667</c:v>
                </c:pt>
                <c:pt idx="5">
                  <c:v>11.576395567801081</c:v>
                </c:pt>
                <c:pt idx="6">
                  <c:v>11.613406162253535</c:v>
                </c:pt>
                <c:pt idx="7">
                  <c:v>11.863810303171711</c:v>
                </c:pt>
                <c:pt idx="8">
                  <c:v>12.841008437220307</c:v>
                </c:pt>
                <c:pt idx="9">
                  <c:v>13.467985960301759</c:v>
                </c:pt>
                <c:pt idx="10">
                  <c:v>13.794203177479778</c:v>
                </c:pt>
                <c:pt idx="11">
                  <c:v>14.069460212285223</c:v>
                </c:pt>
                <c:pt idx="12">
                  <c:v>14.317535310109859</c:v>
                </c:pt>
                <c:pt idx="13">
                  <c:v>14.562118617467771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10/27</c:v>
                </c:pt>
                <c:pt idx="1">
                  <c:v>10/28</c:v>
                </c:pt>
                <c:pt idx="2">
                  <c:v>10/29</c:v>
                </c:pt>
                <c:pt idx="3">
                  <c:v>10/30</c:v>
                </c:pt>
                <c:pt idx="4">
                  <c:v>11/02</c:v>
                </c:pt>
                <c:pt idx="5">
                  <c:v>11/03</c:v>
                </c:pt>
                <c:pt idx="6">
                  <c:v>11/04</c:v>
                </c:pt>
                <c:pt idx="7">
                  <c:v>11/05</c:v>
                </c:pt>
                <c:pt idx="8">
                  <c:v>11/06</c:v>
                </c:pt>
                <c:pt idx="9">
                  <c:v>11/09</c:v>
                </c:pt>
                <c:pt idx="10">
                  <c:v>11/10</c:v>
                </c:pt>
                <c:pt idx="11">
                  <c:v>11/11</c:v>
                </c:pt>
                <c:pt idx="12">
                  <c:v>11/12</c:v>
                </c:pt>
                <c:pt idx="13">
                  <c:v>11/13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9.9416084099844753</c:v>
                </c:pt>
                <c:pt idx="1">
                  <c:v>9.8910243437007992</c:v>
                </c:pt>
                <c:pt idx="2">
                  <c:v>9.9571691066856332</c:v>
                </c:pt>
                <c:pt idx="3">
                  <c:v>9.9713618893026492</c:v>
                </c:pt>
                <c:pt idx="4">
                  <c:v>9.9238213273750446</c:v>
                </c:pt>
                <c:pt idx="5">
                  <c:v>9.8307472893417813</c:v>
                </c:pt>
                <c:pt idx="6">
                  <c:v>9.8208795520321832</c:v>
                </c:pt>
                <c:pt idx="7">
                  <c:v>9.8047611253997182</c:v>
                </c:pt>
                <c:pt idx="8">
                  <c:v>9.3275629913511224</c:v>
                </c:pt>
                <c:pt idx="9">
                  <c:v>9.1577283254125295</c:v>
                </c:pt>
                <c:pt idx="10">
                  <c:v>9.128653965377362</c:v>
                </c:pt>
                <c:pt idx="11">
                  <c:v>9.2105397877147741</c:v>
                </c:pt>
                <c:pt idx="12">
                  <c:v>9.3038932613187111</c:v>
                </c:pt>
                <c:pt idx="13">
                  <c:v>9.4635956682465157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4688"/>
        <c:axId val="365425080"/>
      </c:lineChart>
      <c:catAx>
        <c:axId val="3654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5080"/>
        <c:crosses val="autoZero"/>
        <c:auto val="1"/>
        <c:lblAlgn val="ctr"/>
        <c:lblOffset val="100"/>
        <c:noMultiLvlLbl val="0"/>
      </c:catAx>
      <c:valAx>
        <c:axId val="3654250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10/28</c:v>
                </c:pt>
                <c:pt idx="1">
                  <c:v>10/29</c:v>
                </c:pt>
                <c:pt idx="2">
                  <c:v>10/30</c:v>
                </c:pt>
                <c:pt idx="3">
                  <c:v>11/02</c:v>
                </c:pt>
                <c:pt idx="4">
                  <c:v>11/03</c:v>
                </c:pt>
                <c:pt idx="5">
                  <c:v>11/04</c:v>
                </c:pt>
                <c:pt idx="6">
                  <c:v>11/05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10520.53</c:v>
                </c:pt>
                <c:pt idx="1">
                  <c:v>48119.54</c:v>
                </c:pt>
                <c:pt idx="2">
                  <c:v>48119.54</c:v>
                </c:pt>
                <c:pt idx="3">
                  <c:v>48119.54</c:v>
                </c:pt>
                <c:pt idx="4">
                  <c:v>47299.02</c:v>
                </c:pt>
                <c:pt idx="5">
                  <c:v>47255.839999999997</c:v>
                </c:pt>
                <c:pt idx="6">
                  <c:v>7783.74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6256"/>
        <c:axId val="36755094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10/28</c:v>
                </c:pt>
                <c:pt idx="1">
                  <c:v>10/29</c:v>
                </c:pt>
                <c:pt idx="2">
                  <c:v>10/30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90212.040000000008</c:v>
                </c:pt>
                <c:pt idx="1">
                  <c:v>84039.59</c:v>
                </c:pt>
                <c:pt idx="2">
                  <c:v>83691.59</c:v>
                </c:pt>
                <c:pt idx="3">
                  <c:v>85011.66</c:v>
                </c:pt>
                <c:pt idx="4">
                  <c:v>85507.65</c:v>
                </c:pt>
                <c:pt idx="5">
                  <c:v>122681.8</c:v>
                </c:pt>
                <c:pt idx="6">
                  <c:v>88192.540000000023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6256"/>
        <c:axId val="367550944"/>
      </c:lineChart>
      <c:catAx>
        <c:axId val="365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50944"/>
        <c:crosses val="autoZero"/>
        <c:auto val="1"/>
        <c:lblAlgn val="ctr"/>
        <c:lblOffset val="100"/>
        <c:noMultiLvlLbl val="0"/>
      </c:catAx>
      <c:valAx>
        <c:axId val="36755094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654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/>
</file>

<file path=xl/ctrlProps/ctrlProp2.xml><?xml version="1.0" encoding="utf-8"?>
<formControlPr xmlns="http://schemas.microsoft.com/office/spreadsheetml/2009/9/main" objectType="Scroll" dx="22" fmlaLink="$V$3" horiz="1" max="35" page="0" val="3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18</xdr:row>
          <xdr:rowOff>165100</xdr:rowOff>
        </xdr:from>
        <xdr:to>
          <xdr:col>8</xdr:col>
          <xdr:colOff>114300</xdr:colOff>
          <xdr:row>29</xdr:row>
          <xdr:rowOff>184150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1B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184150</xdr:colOff>
          <xdr:row>13</xdr:row>
          <xdr:rowOff>57150</xdr:rowOff>
        </xdr:from>
        <xdr:to>
          <xdr:col>20</xdr:col>
          <xdr:colOff>203200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1B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9526</xdr:rowOff>
    </xdr:from>
    <xdr:to>
      <xdr:col>8</xdr:col>
      <xdr:colOff>404141</xdr:colOff>
      <xdr:row>20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6"/>
          <a:ext cx="472849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104776</xdr:rowOff>
    </xdr:from>
    <xdr:to>
      <xdr:col>15</xdr:col>
      <xdr:colOff>533400</xdr:colOff>
      <xdr:row>20</xdr:row>
      <xdr:rowOff>186504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85826"/>
          <a:ext cx="3314700" cy="312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ransaction" displayName="tbl_transaction" ref="A4:S101" totalsRowCount="1">
  <autoFilter ref="A4:S100" xr:uid="{00000000-0009-0000-0100-000003000000}"/>
  <tableColumns count="19">
    <tableColumn id="1" xr3:uid="{00000000-0010-0000-0000-000001000000}" name="Symbol" totalsRowLabel="Total"/>
    <tableColumn id="2" xr3:uid="{00000000-0010-0000-0000-000002000000}" name="Order Date" totalsRowFunction="count"/>
    <tableColumn id="3" xr3:uid="{00000000-0010-0000-0000-000003000000}" name="Transaction Date"/>
    <tableColumn id="4" xr3:uid="{00000000-0010-0000-0000-000004000000}" name="Transactions"/>
    <tableColumn id="5" xr3:uid="{00000000-0010-0000-0000-000005000000}" name="Cancel Reason"/>
    <tableColumn id="6" xr3:uid="{00000000-0010-0000-0000-000006000000}" name="Amount" dataDxfId="495"/>
    <tableColumn id="7" xr3:uid="{00000000-0010-0000-0000-000007000000}" name="Execution_Price" dataDxfId="494"/>
    <tableColumn id="8" xr3:uid="{00000000-0010-0000-0000-000008000000}" name="Month_order" dataDxfId="493">
      <calculatedColumnFormula>VALUE(LEFT(tbl_transaction[[#This Row],[Order Date]],FIND("/",tbl_transaction[[#This Row],[Order Date]])-1))</calculatedColumnFormula>
    </tableColumn>
    <tableColumn id="9" xr3:uid="{00000000-0010-0000-0000-000009000000}" name="Date_order" dataDxfId="492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xr3:uid="{00000000-0010-0000-0000-00000A000000}" name="Year_order" dataDxfId="491">
      <calculatedColumnFormula>MID(tbl_transaction[[#This Row],[Order Date]], FIND("/",tbl_transaction[[#This Row],[Order Date]], FIND("/", tbl_transaction[[#This Row],[Order Date]])+1)+1, 2)</calculatedColumnFormula>
    </tableColumn>
    <tableColumn id="11" xr3:uid="{00000000-0010-0000-0000-00000B000000}" name="Month_Transact" dataDxfId="490">
      <calculatedColumnFormula>VALUE(LEFT(tbl_transaction[[#This Row],[Transaction Date]],FIND("/",tbl_transaction[[#This Row],[Transaction Date]])-1))</calculatedColumnFormula>
    </tableColumn>
    <tableColumn id="12" xr3:uid="{00000000-0010-0000-0000-00000C000000}" name="Date_Transact" dataDxfId="489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xr3:uid="{00000000-0010-0000-0000-00000D000000}" name="Year_Transact" dataDxfId="488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xr3:uid="{00000000-0010-0000-0000-00000E000000}" name="Order_Date" dataDxfId="487">
      <calculatedColumnFormula>DATE(tbl_transaction[[#This Row],[Year_order]]+2000, tbl_transaction[[#This Row],[Month_order]], tbl_transaction[[#This Row],[Date_order]])</calculatedColumnFormula>
    </tableColumn>
    <tableColumn id="15" xr3:uid="{00000000-0010-0000-0000-00000F000000}" name="Transaction_Date" dataDxfId="486">
      <calculatedColumnFormula>DATE(tbl_transaction[[#This Row],[Year_Transact]]+2000,tbl_transaction[[#This Row],[Month_Transact]],tbl_transaction[[#This Row],[Date_Transact]])</calculatedColumnFormula>
    </tableColumn>
    <tableColumn id="16" xr3:uid="{00000000-0010-0000-0000-000010000000}" name="Net_Cash_Change" totalsRowFunction="sum" dataDxfId="485" totalsRowDxfId="484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xr3:uid="{00000000-0010-0000-0000-000011000000}" name="Net_Stock_Change" dataDxfId="483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xr3:uid="{00000000-0010-0000-0000-000012000000}" name="Net_Debt_Change" dataDxfId="482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xr3:uid="{00000000-0010-0000-0000-000013000000}" name="Stock Holding Change" totalsRowFunction="sum" dataDxfId="481" totalsRowDxfId="480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IBM" displayName="tbl_IBM" ref="A4:S74" totalsRowCount="1">
  <autoFilter ref="A4:S73" xr:uid="{00000000-0009-0000-0100-00000C000000}"/>
  <tableColumns count="19">
    <tableColumn id="1" xr3:uid="{00000000-0010-0000-0900-000001000000}" name="Date" totalsRowLabel="Total" dataDxfId="389"/>
    <tableColumn id="2" xr3:uid="{00000000-0010-0000-0900-000002000000}" name="Open" dataDxfId="388"/>
    <tableColumn id="3" xr3:uid="{00000000-0010-0000-0900-000003000000}" name="High" dataDxfId="387"/>
    <tableColumn id="4" xr3:uid="{00000000-0010-0000-0900-000004000000}" name="Low" dataDxfId="386"/>
    <tableColumn id="5" xr3:uid="{00000000-0010-0000-0900-000005000000}" name="Close" dataDxfId="385"/>
    <tableColumn id="6" xr3:uid="{00000000-0010-0000-0900-000006000000}" name="Adj Close" dataDxfId="384"/>
    <tableColumn id="7" xr3:uid="{00000000-0010-0000-0900-000007000000}" name="Volume"/>
    <tableColumn id="8" xr3:uid="{00000000-0010-0000-0900-000008000000}" name="EMA" dataDxfId="383">
      <calculatedColumnFormula>IF(tbl_IBM[[#This Row],[Date]]=$A$5, $F5, EMA_Beta*$H4 + (1-EMA_Beta)*$F5)</calculatedColumnFormula>
    </tableColumn>
    <tableColumn id="9" xr3:uid="{00000000-0010-0000-0900-000009000000}" name="RSI" dataDxfId="382">
      <calculatedColumnFormula>IF(tbl_IBM[[#This Row],[RS]]= "", "", 100-(100/(1+tbl_IBM[[#This Row],[RS]])))</calculatedColumnFormula>
    </tableColumn>
    <tableColumn id="10" xr3:uid="{00000000-0010-0000-0900-00000A000000}" name="BB_Mean" dataDxfId="381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900-00000B000000}" name="BB_Upper" dataDxfId="380">
      <calculatedColumnFormula>IF(tbl_IBM[[#This Row],[BB_Mean]]="", "", tbl_IBM[[#This Row],[BB_Mean]]+(BB_Width*tbl_IBM[[#This Row],[BB_Stdev]]))</calculatedColumnFormula>
    </tableColumn>
    <tableColumn id="12" xr3:uid="{00000000-0010-0000-0900-00000C000000}" name="BB_Lower" dataDxfId="379">
      <calculatedColumnFormula>IF(tbl_IBM[[#This Row],[BB_Mean]]="", "", tbl_IBM[[#This Row],[BB_Mean]]-(BB_Width*tbl_IBM[[#This Row],[BB_Stdev]]))</calculatedColumnFormula>
    </tableColumn>
    <tableColumn id="13" xr3:uid="{00000000-0010-0000-0900-00000D000000}" name="Move" dataDxfId="378">
      <calculatedColumnFormula>IF(ROW(tbl_IBM[[#This Row],[Adj Close]])=5, 0, $F5-$F4)</calculatedColumnFormula>
    </tableColumn>
    <tableColumn id="14" xr3:uid="{00000000-0010-0000-0900-00000E000000}" name="Upmove" dataDxfId="377">
      <calculatedColumnFormula>MAX(tbl_IBM[[#This Row],[Move]],0)</calculatedColumnFormula>
    </tableColumn>
    <tableColumn id="15" xr3:uid="{00000000-0010-0000-0900-00000F000000}" name="Downmove" dataDxfId="376">
      <calculatedColumnFormula>MAX(-tbl_IBM[[#This Row],[Move]],0)</calculatedColumnFormula>
    </tableColumn>
    <tableColumn id="16" xr3:uid="{00000000-0010-0000-0900-000010000000}" name="Avg_Upmove" dataDxfId="37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900-000011000000}" name="Avg_Downmove" dataDxfId="37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900-000012000000}" name="RS" dataDxfId="373">
      <calculatedColumnFormula>IF(tbl_IBM[[#This Row],[Avg_Upmove]]="", "", tbl_IBM[[#This Row],[Avg_Upmove]]/tbl_IBM[[#This Row],[Avg_Downmove]])</calculatedColumnFormula>
    </tableColumn>
    <tableColumn id="19" xr3:uid="{00000000-0010-0000-0900-000013000000}" name="BB_Stdev" totalsRowFunction="count" dataDxfId="372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ORCL" displayName="tbl_ORCL" ref="A4:S74" totalsRowCount="1">
  <autoFilter ref="A4:S73" xr:uid="{00000000-0009-0000-0100-00000D000000}"/>
  <tableColumns count="19">
    <tableColumn id="1" xr3:uid="{00000000-0010-0000-0A00-000001000000}" name="Date" totalsRowLabel="Total" dataDxfId="371"/>
    <tableColumn id="2" xr3:uid="{00000000-0010-0000-0A00-000002000000}" name="Open" totalsRowDxfId="370" dataCellStyle="Currency"/>
    <tableColumn id="3" xr3:uid="{00000000-0010-0000-0A00-000003000000}" name="High" totalsRowDxfId="369" dataCellStyle="Currency"/>
    <tableColumn id="4" xr3:uid="{00000000-0010-0000-0A00-000004000000}" name="Low" totalsRowDxfId="368" dataCellStyle="Currency"/>
    <tableColumn id="5" xr3:uid="{00000000-0010-0000-0A00-000005000000}" name="Close" totalsRowDxfId="367" dataCellStyle="Currency"/>
    <tableColumn id="6" xr3:uid="{00000000-0010-0000-0A00-000006000000}" name="Adj Close" totalsRowDxfId="366" dataCellStyle="Currency"/>
    <tableColumn id="7" xr3:uid="{00000000-0010-0000-0A00-000007000000}" name="Volume"/>
    <tableColumn id="8" xr3:uid="{00000000-0010-0000-0A00-000008000000}" name="EMA" dataDxfId="365" totalsRowDxfId="364" dataCellStyle="Currency">
      <calculatedColumnFormula>IF(tbl_ORCL[[#This Row],[Date]]=$A$5, $F5, EMA_Beta*$H4 + (1-EMA_Beta)*$F5)</calculatedColumnFormula>
    </tableColumn>
    <tableColumn id="9" xr3:uid="{00000000-0010-0000-0A00-000009000000}" name="RSI" dataDxfId="363" totalsRowDxfId="362" dataCellStyle="Currency">
      <calculatedColumnFormula>IF(tbl_ORCL[[#This Row],[RS]]= "", "", 100-(100/(1+tbl_ORCL[[#This Row],[RS]])))</calculatedColumnFormula>
    </tableColumn>
    <tableColumn id="10" xr3:uid="{00000000-0010-0000-0A00-00000A000000}" name="BB_Mean" dataDxfId="361" totalsRowDxfId="36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A00-00000B000000}" name="BB_Upper" dataDxfId="359" totalsRowDxfId="358" dataCellStyle="Currency">
      <calculatedColumnFormula>IF(tbl_ORCL[[#This Row],[BB_Mean]]="", "", tbl_ORCL[[#This Row],[BB_Mean]]+(BB_Width*tbl_ORCL[[#This Row],[BB_Stdev]]))</calculatedColumnFormula>
    </tableColumn>
    <tableColumn id="12" xr3:uid="{00000000-0010-0000-0A00-00000C000000}" name="BB_Lower" dataDxfId="357" totalsRowDxfId="356" dataCellStyle="Currency">
      <calculatedColumnFormula>IF(tbl_ORCL[[#This Row],[BB_Mean]]="", "", tbl_ORCL[[#This Row],[BB_Mean]]-(BB_Width*tbl_ORCL[[#This Row],[BB_Stdev]]))</calculatedColumnFormula>
    </tableColumn>
    <tableColumn id="13" xr3:uid="{00000000-0010-0000-0A00-00000D000000}" name="Move" dataDxfId="355" totalsRowDxfId="354" dataCellStyle="Currency">
      <calculatedColumnFormula>IF(ROW(tbl_ORCL[[#This Row],[Adj Close]])=5, 0, $F5-$F4)</calculatedColumnFormula>
    </tableColumn>
    <tableColumn id="14" xr3:uid="{00000000-0010-0000-0A00-00000E000000}" name="Upmove" dataDxfId="353" totalsRowDxfId="352" dataCellStyle="Currency">
      <calculatedColumnFormula>MAX(tbl_ORCL[[#This Row],[Move]],0)</calculatedColumnFormula>
    </tableColumn>
    <tableColumn id="15" xr3:uid="{00000000-0010-0000-0A00-00000F000000}" name="Downmove" dataDxfId="351" totalsRowDxfId="350" dataCellStyle="Currency">
      <calculatedColumnFormula>MAX(-tbl_ORCL[[#This Row],[Move]],0)</calculatedColumnFormula>
    </tableColumn>
    <tableColumn id="16" xr3:uid="{00000000-0010-0000-0A00-000010000000}" name="Avg_Upmove" dataDxfId="349" totalsRowDxfId="348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A00-000011000000}" name="Avg_Downmove" dataDxfId="347" totalsRowDxfId="346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A00-000012000000}" name="RS" dataDxfId="345" totalsRowDxfId="344" dataCellStyle="Currency">
      <calculatedColumnFormula>IF(tbl_ORCL[[#This Row],[Avg_Upmove]]="", "", tbl_ORCL[[#This Row],[Avg_Upmove]]/tbl_ORCL[[#This Row],[Avg_Downmove]])</calculatedColumnFormula>
    </tableColumn>
    <tableColumn id="19" xr3:uid="{00000000-0010-0000-0A00-000013000000}" name="BB_Stdev" totalsRowFunction="count" dataDxfId="343" totalsRowDxfId="34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AKRO" displayName="tbl_AKRO" ref="A4:S74" totalsRowCount="1">
  <autoFilter ref="A4:S73" xr:uid="{00000000-0009-0000-0100-00000E000000}"/>
  <tableColumns count="19">
    <tableColumn id="1" xr3:uid="{00000000-0010-0000-0B00-000001000000}" name="Date" totalsRowLabel="Total" dataDxfId="341"/>
    <tableColumn id="2" xr3:uid="{00000000-0010-0000-0B00-000002000000}" name="Open" totalsRowDxfId="340" dataCellStyle="Currency"/>
    <tableColumn id="3" xr3:uid="{00000000-0010-0000-0B00-000003000000}" name="High" totalsRowDxfId="339" dataCellStyle="Currency"/>
    <tableColumn id="4" xr3:uid="{00000000-0010-0000-0B00-000004000000}" name="Low" totalsRowDxfId="338" dataCellStyle="Currency"/>
    <tableColumn id="5" xr3:uid="{00000000-0010-0000-0B00-000005000000}" name="Close" totalsRowDxfId="337" dataCellStyle="Currency"/>
    <tableColumn id="6" xr3:uid="{00000000-0010-0000-0B00-000006000000}" name="Adj Close" totalsRowDxfId="336" dataCellStyle="Currency"/>
    <tableColumn id="7" xr3:uid="{00000000-0010-0000-0B00-000007000000}" name="Volume"/>
    <tableColumn id="8" xr3:uid="{00000000-0010-0000-0B00-000008000000}" name="EMA" totalsRowDxfId="335" dataCellStyle="Currency">
      <calculatedColumnFormula>IF(tbl_AKRO[[#This Row],[Date]]=$A$5, $F5, EMA_Beta*$H4 + (1-EMA_Beta)*$F5)</calculatedColumnFormula>
    </tableColumn>
    <tableColumn id="9" xr3:uid="{00000000-0010-0000-0B00-000009000000}" name="RSI" dataDxfId="334">
      <calculatedColumnFormula>IF(tbl_AKRO[[#This Row],[RS]]= "", "", 100-(100/(1+tbl_AKRO[[#This Row],[RS]])))</calculatedColumnFormula>
    </tableColumn>
    <tableColumn id="10" xr3:uid="{00000000-0010-0000-0B00-00000A000000}" name="BB_Mean" totalsRowDxfId="33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B00-00000B000000}" name="BB_Upper" dataDxfId="332" totalsRowDxfId="331" dataCellStyle="Currency">
      <calculatedColumnFormula>IF(tbl_AKRO[[#This Row],[BB_Mean]]="", "", tbl_AKRO[[#This Row],[BB_Mean]]+(BB_Width*tbl_AKRO[[#This Row],[BB_Stdev]]))</calculatedColumnFormula>
    </tableColumn>
    <tableColumn id="12" xr3:uid="{00000000-0010-0000-0B00-00000C000000}" name="BB_Lower" dataDxfId="330" totalsRowDxfId="329" dataCellStyle="Currency">
      <calculatedColumnFormula>IF(tbl_AKRO[[#This Row],[BB_Mean]]="", "", tbl_AKRO[[#This Row],[BB_Mean]]-(BB_Width*tbl_AKRO[[#This Row],[BB_Stdev]]))</calculatedColumnFormula>
    </tableColumn>
    <tableColumn id="13" xr3:uid="{00000000-0010-0000-0B00-00000D000000}" name="Move" dataDxfId="328">
      <calculatedColumnFormula>IF(ROW(tbl_AKRO[[#This Row],[Adj Close]])=5, 0, $F5-$F4)</calculatedColumnFormula>
    </tableColumn>
    <tableColumn id="14" xr3:uid="{00000000-0010-0000-0B00-00000E000000}" name="Upmove" dataDxfId="327">
      <calculatedColumnFormula>MAX(tbl_AKRO[[#This Row],[Move]],0)</calculatedColumnFormula>
    </tableColumn>
    <tableColumn id="15" xr3:uid="{00000000-0010-0000-0B00-00000F000000}" name="Downmove" dataDxfId="326">
      <calculatedColumnFormula>MAX(-tbl_AKRO[[#This Row],[Move]],0)</calculatedColumnFormula>
    </tableColumn>
    <tableColumn id="16" xr3:uid="{00000000-0010-0000-0B00-000010000000}" name="Avg_Upmove" dataDxfId="32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B00-000011000000}" name="Avg_Downmove" dataDxfId="32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B00-000012000000}" name="RS" dataDxfId="323">
      <calculatedColumnFormula>IF(tbl_AKRO[[#This Row],[Avg_Upmove]]="", "", tbl_AKRO[[#This Row],[Avg_Upmove]]/tbl_AKRO[[#This Row],[Avg_Downmove]])</calculatedColumnFormula>
    </tableColumn>
    <tableColumn id="19" xr3:uid="{00000000-0010-0000-0B00-000013000000}" name="BB_Stdev" totalsRowFunction="count" totalsRowDxfId="32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FDX" displayName="tbl_FDX" ref="A4:S74" totalsRowCount="1">
  <autoFilter ref="A4:S73" xr:uid="{00000000-0009-0000-0100-000010000000}"/>
  <tableColumns count="19">
    <tableColumn id="1" xr3:uid="{00000000-0010-0000-0C00-000001000000}" name="Date" totalsRowLabel="Total" dataDxfId="321"/>
    <tableColumn id="2" xr3:uid="{00000000-0010-0000-0C00-000002000000}" name="Open" totalsRowDxfId="320" dataCellStyle="Currency"/>
    <tableColumn id="3" xr3:uid="{00000000-0010-0000-0C00-000003000000}" name="High" totalsRowDxfId="319" dataCellStyle="Currency"/>
    <tableColumn id="4" xr3:uid="{00000000-0010-0000-0C00-000004000000}" name="Low" totalsRowDxfId="318" dataCellStyle="Currency"/>
    <tableColumn id="5" xr3:uid="{00000000-0010-0000-0C00-000005000000}" name="Close" totalsRowDxfId="317" dataCellStyle="Currency"/>
    <tableColumn id="6" xr3:uid="{00000000-0010-0000-0C00-000006000000}" name="Adj Close" totalsRowDxfId="316" dataCellStyle="Currency"/>
    <tableColumn id="7" xr3:uid="{00000000-0010-0000-0C00-000007000000}" name="Volume"/>
    <tableColumn id="8" xr3:uid="{00000000-0010-0000-0C00-000008000000}" name="EMA" totalsRowDxfId="315" dataCellStyle="Currency">
      <calculatedColumnFormula>IF(tbl_FDX[[#This Row],[Date]]=$A$5, $F5, EMA_Beta*$H4 + (1-EMA_Beta)*$F5)</calculatedColumnFormula>
    </tableColumn>
    <tableColumn id="9" xr3:uid="{00000000-0010-0000-0C00-000009000000}" name="RSI" dataDxfId="314">
      <calculatedColumnFormula>IF(tbl_FDX[[#This Row],[RS]]= "", "", 100-(100/(1+tbl_FDX[[#This Row],[RS]])))</calculatedColumnFormula>
    </tableColumn>
    <tableColumn id="10" xr3:uid="{00000000-0010-0000-0C00-00000A000000}" name="BB_Mean" totalsRowDxfId="31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C00-00000B000000}" name="BB_Upper" totalsRowDxfId="312" dataCellStyle="Currency">
      <calculatedColumnFormula>IF(tbl_FDX[[#This Row],[BB_Mean]]="", "", tbl_FDX[[#This Row],[BB_Mean]]+(BB_Width*tbl_FDX[[#This Row],[BB_Stdev]]))</calculatedColumnFormula>
    </tableColumn>
    <tableColumn id="12" xr3:uid="{00000000-0010-0000-0C00-00000C000000}" name="BB_Lower" dataDxfId="311" totalsRowDxfId="310" dataCellStyle="Currency">
      <calculatedColumnFormula>IF(tbl_FDX[[#This Row],[BB_Mean]]="", "", tbl_FDX[[#This Row],[BB_Mean]]-(BB_Width*tbl_FDX[[#This Row],[BB_Stdev]]))</calculatedColumnFormula>
    </tableColumn>
    <tableColumn id="13" xr3:uid="{00000000-0010-0000-0C00-00000D000000}" name="Move" dataDxfId="309">
      <calculatedColumnFormula>IF(ROW(tbl_FDX[[#This Row],[Adj Close]])=5, 0, $F5-$F4)</calculatedColumnFormula>
    </tableColumn>
    <tableColumn id="14" xr3:uid="{00000000-0010-0000-0C00-00000E000000}" name="Upmove" dataDxfId="308">
      <calculatedColumnFormula>MAX(tbl_FDX[[#This Row],[Move]],0)</calculatedColumnFormula>
    </tableColumn>
    <tableColumn id="15" xr3:uid="{00000000-0010-0000-0C00-00000F000000}" name="Downmove" dataDxfId="307">
      <calculatedColumnFormula>MAX(-tbl_FDX[[#This Row],[Move]],0)</calculatedColumnFormula>
    </tableColumn>
    <tableColumn id="16" xr3:uid="{00000000-0010-0000-0C00-000010000000}" name="Avg_Upmove" dataDxfId="30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C00-000011000000}" name="Avg_Downmove" dataDxfId="30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C00-000012000000}" name="RS" dataDxfId="304">
      <calculatedColumnFormula>IF(tbl_FDX[[#This Row],[Avg_Upmove]]="", "", tbl_FDX[[#This Row],[Avg_Upmove]]/tbl_FDX[[#This Row],[Avg_Downmove]])</calculatedColumnFormula>
    </tableColumn>
    <tableColumn id="19" xr3:uid="{00000000-0010-0000-0C00-000013000000}" name="BB_Stdev" totalsRowFunction="count" totalsRowDxfId="30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NKLA" displayName="tbl_NKLA" ref="A4:S74" totalsRowCount="1">
  <autoFilter ref="A4:S73" xr:uid="{00000000-0009-0000-0100-000011000000}"/>
  <tableColumns count="19">
    <tableColumn id="1" xr3:uid="{00000000-0010-0000-0D00-000001000000}" name="Date" totalsRowLabel="Total" dataDxfId="302"/>
    <tableColumn id="2" xr3:uid="{00000000-0010-0000-0D00-000002000000}" name="Open"/>
    <tableColumn id="3" xr3:uid="{00000000-0010-0000-0D00-000003000000}" name="High"/>
    <tableColumn id="4" xr3:uid="{00000000-0010-0000-0D00-000004000000}" name="Low"/>
    <tableColumn id="5" xr3:uid="{00000000-0010-0000-0D00-000005000000}" name="Close"/>
    <tableColumn id="6" xr3:uid="{00000000-0010-0000-0D00-000006000000}" name="Adj Close"/>
    <tableColumn id="7" xr3:uid="{00000000-0010-0000-0D00-000007000000}" name="Volume"/>
    <tableColumn id="8" xr3:uid="{00000000-0010-0000-0D00-000008000000}" name="EMA" totalsRowDxfId="301" dataCellStyle="Currency">
      <calculatedColumnFormula>IF(tbl_NKLA[[#This Row],[Date]]=$A$5, $F5, EMA_Beta*$H4 + (1-EMA_Beta)*$F5)</calculatedColumnFormula>
    </tableColumn>
    <tableColumn id="9" xr3:uid="{00000000-0010-0000-0D00-000009000000}" name="RSI" dataDxfId="300">
      <calculatedColumnFormula>IF(tbl_NKLA[[#This Row],[RS]]= "", "", 100-(100/(1+tbl_NKLA[[#This Row],[RS]])))</calculatedColumnFormula>
    </tableColumn>
    <tableColumn id="10" xr3:uid="{00000000-0010-0000-0D00-00000A000000}" name="BB_Mean" totalsRowDxfId="299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D00-00000B000000}" name="BB_Upper" totalsRowDxfId="298" dataCellStyle="Currency">
      <calculatedColumnFormula>IF(tbl_NKLA[[#This Row],[BB_Mean]]="", "", tbl_NKLA[[#This Row],[BB_Mean]]+(BB_Width*tbl_NKLA[[#This Row],[BB_Stdev]]))</calculatedColumnFormula>
    </tableColumn>
    <tableColumn id="12" xr3:uid="{00000000-0010-0000-0D00-00000C000000}" name="BB_Lower" totalsRowDxfId="297" dataCellStyle="Currency">
      <calculatedColumnFormula>IF(tbl_NKLA[[#This Row],[BB_Mean]]="", "", tbl_NKLA[[#This Row],[BB_Mean]]-(BB_Width*tbl_NKLA[[#This Row],[BB_Stdev]]))</calculatedColumnFormula>
    </tableColumn>
    <tableColumn id="13" xr3:uid="{00000000-0010-0000-0D00-00000D000000}" name="Move" dataDxfId="296">
      <calculatedColumnFormula>IF(ROW(tbl_NKLA[[#This Row],[Adj Close]])=5, 0, $F5-$F4)</calculatedColumnFormula>
    </tableColumn>
    <tableColumn id="14" xr3:uid="{00000000-0010-0000-0D00-00000E000000}" name="Upmove" dataDxfId="295">
      <calculatedColumnFormula>MAX(tbl_NKLA[[#This Row],[Move]],0)</calculatedColumnFormula>
    </tableColumn>
    <tableColumn id="15" xr3:uid="{00000000-0010-0000-0D00-00000F000000}" name="Downmove" dataDxfId="294">
      <calculatedColumnFormula>MAX(-tbl_NKLA[[#This Row],[Move]],0)</calculatedColumnFormula>
    </tableColumn>
    <tableColumn id="16" xr3:uid="{00000000-0010-0000-0D00-000010000000}" name="Avg_Upmove" dataDxfId="29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D00-000011000000}" name="Avg_Downmove" dataDxfId="29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D00-000012000000}" name="RS" dataDxfId="291">
      <calculatedColumnFormula>IF(tbl_NKLA[[#This Row],[Avg_Upmove]]="", "", tbl_NKLA[[#This Row],[Avg_Upmove]]/tbl_NKLA[[#This Row],[Avg_Downmove]])</calculatedColumnFormula>
    </tableColumn>
    <tableColumn id="19" xr3:uid="{00000000-0010-0000-0D00-000013000000}" name="BB_Stdev" totalsRowFunction="count" totalsRowDxfId="29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SPXS" displayName="tbl_SPXS" ref="A4:S74" totalsRowCount="1">
  <autoFilter ref="A4:S73" xr:uid="{00000000-0009-0000-0100-000012000000}"/>
  <tableColumns count="19">
    <tableColumn id="1" xr3:uid="{00000000-0010-0000-0E00-000001000000}" name="Date" totalsRowLabel="Total" dataDxfId="289"/>
    <tableColumn id="2" xr3:uid="{00000000-0010-0000-0E00-000002000000}" name="Open" totalsRowDxfId="288" dataCellStyle="Currency"/>
    <tableColumn id="3" xr3:uid="{00000000-0010-0000-0E00-000003000000}" name="High" totalsRowDxfId="287" dataCellStyle="Currency"/>
    <tableColumn id="4" xr3:uid="{00000000-0010-0000-0E00-000004000000}" name="Low" totalsRowDxfId="286" dataCellStyle="Currency"/>
    <tableColumn id="5" xr3:uid="{00000000-0010-0000-0E00-000005000000}" name="Close" totalsRowDxfId="285" dataCellStyle="Currency"/>
    <tableColumn id="6" xr3:uid="{00000000-0010-0000-0E00-000006000000}" name="Adj Close" totalsRowDxfId="284" dataCellStyle="Currency"/>
    <tableColumn id="7" xr3:uid="{00000000-0010-0000-0E00-000007000000}" name="Volume"/>
    <tableColumn id="8" xr3:uid="{00000000-0010-0000-0E00-000008000000}" name="EMA" totalsRowDxfId="283" dataCellStyle="Currency">
      <calculatedColumnFormula>IF(tbl_SPXS[[#This Row],[Date]]=$A$5, $F5, EMA_Beta*$H4 + (1-EMA_Beta)*$F5)</calculatedColumnFormula>
    </tableColumn>
    <tableColumn id="9" xr3:uid="{00000000-0010-0000-0E00-000009000000}" name="RSI" dataDxfId="282">
      <calculatedColumnFormula>IF(tbl_SPXS[[#This Row],[RS]]= "", "", 100-(100/(1+tbl_SPXS[[#This Row],[RS]])))</calculatedColumnFormula>
    </tableColumn>
    <tableColumn id="10" xr3:uid="{00000000-0010-0000-0E00-00000A000000}" name="BB_Mean" totalsRowDxfId="28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E00-00000B000000}" name="BB_Upper" totalsRowDxfId="280" dataCellStyle="Currency">
      <calculatedColumnFormula>IF(tbl_SPXS[[#This Row],[BB_Mean]]="", "", tbl_SPXS[[#This Row],[BB_Mean]]+(BB_Width*tbl_SPXS[[#This Row],[BB_Stdev]]))</calculatedColumnFormula>
    </tableColumn>
    <tableColumn id="12" xr3:uid="{00000000-0010-0000-0E00-00000C000000}" name="BB_Lower" totalsRowDxfId="279" dataCellStyle="Currency">
      <calculatedColumnFormula>IF(tbl_SPXS[[#This Row],[BB_Mean]]="", "", tbl_SPXS[[#This Row],[BB_Mean]]-(BB_Width*tbl_SPXS[[#This Row],[BB_Stdev]]))</calculatedColumnFormula>
    </tableColumn>
    <tableColumn id="13" xr3:uid="{00000000-0010-0000-0E00-00000D000000}" name="Move" dataDxfId="278">
      <calculatedColumnFormula>IF(ROW(tbl_SPXS[[#This Row],[Adj Close]])=5, 0, $F5-$F4)</calculatedColumnFormula>
    </tableColumn>
    <tableColumn id="14" xr3:uid="{00000000-0010-0000-0E00-00000E000000}" name="Upmove" dataDxfId="277">
      <calculatedColumnFormula>MAX(tbl_SPXS[[#This Row],[Move]],0)</calculatedColumnFormula>
    </tableColumn>
    <tableColumn id="15" xr3:uid="{00000000-0010-0000-0E00-00000F000000}" name="Downmove" dataDxfId="276">
      <calculatedColumnFormula>MAX(-tbl_SPXS[[#This Row],[Move]],0)</calculatedColumnFormula>
    </tableColumn>
    <tableColumn id="16" xr3:uid="{00000000-0010-0000-0E00-000010000000}" name="Avg_Upmove" dataDxfId="27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E00-000011000000}" name="Avg_Downmove" dataDxfId="27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E00-000012000000}" name="RS" dataDxfId="273">
      <calculatedColumnFormula>IF(tbl_SPXS[[#This Row],[Avg_Upmove]]="", "", tbl_SPXS[[#This Row],[Avg_Upmove]]/tbl_SPXS[[#This Row],[Avg_Downmove]])</calculatedColumnFormula>
    </tableColumn>
    <tableColumn id="19" xr3:uid="{00000000-0010-0000-0E00-000013000000}" name="BB_Stdev" totalsRowFunction="count" totalsRowDxfId="27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bl_AMD" displayName="tbl_AMD" ref="A4:S74" totalsRowCount="1">
  <autoFilter ref="A4:S73" xr:uid="{00000000-0009-0000-0100-000008000000}"/>
  <tableColumns count="19">
    <tableColumn id="1" xr3:uid="{00000000-0010-0000-0F00-000001000000}" name="Date" totalsRowLabel="Total" dataDxfId="271"/>
    <tableColumn id="2" xr3:uid="{00000000-0010-0000-0F00-000002000000}" name="Open" totalsRowDxfId="270" dataCellStyle="Currency"/>
    <tableColumn id="3" xr3:uid="{00000000-0010-0000-0F00-000003000000}" name="High" totalsRowDxfId="269" dataCellStyle="Currency"/>
    <tableColumn id="4" xr3:uid="{00000000-0010-0000-0F00-000004000000}" name="Low" totalsRowDxfId="268" dataCellStyle="Currency"/>
    <tableColumn id="5" xr3:uid="{00000000-0010-0000-0F00-000005000000}" name="Close" totalsRowDxfId="267" dataCellStyle="Currency"/>
    <tableColumn id="6" xr3:uid="{00000000-0010-0000-0F00-000006000000}" name="Adj Close" totalsRowDxfId="266" dataCellStyle="Currency"/>
    <tableColumn id="7" xr3:uid="{00000000-0010-0000-0F00-000007000000}" name="Volume"/>
    <tableColumn id="8" xr3:uid="{00000000-0010-0000-0F00-000008000000}" name="EMA" totalsRowDxfId="265" dataCellStyle="Currency">
      <calculatedColumnFormula>IF(tbl_AMD[[#This Row],[Date]]=$A$5, $F5, EMA_Beta*$H4 + (1-EMA_Beta)*$F5)</calculatedColumnFormula>
    </tableColumn>
    <tableColumn id="9" xr3:uid="{00000000-0010-0000-0F00-000009000000}" name="RSI" dataDxfId="264">
      <calculatedColumnFormula>IF(tbl_AMD[[#This Row],[RS]]= "", "", 100-(100/(1+tbl_AMD[[#This Row],[RS]])))</calculatedColumnFormula>
    </tableColumn>
    <tableColumn id="10" xr3:uid="{00000000-0010-0000-0F00-00000A000000}" name="BB_Mean" totalsRowDxfId="26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F00-00000B000000}" name="BB_Upper" totalsRowDxfId="262" dataCellStyle="Currency">
      <calculatedColumnFormula>IF(tbl_AMD[[#This Row],[BB_Mean]]="", "", tbl_AMD[[#This Row],[BB_Mean]]+(BB_Width*tbl_AMD[[#This Row],[BB_Stdev]]))</calculatedColumnFormula>
    </tableColumn>
    <tableColumn id="12" xr3:uid="{00000000-0010-0000-0F00-00000C000000}" name="BB_Lower" totalsRowDxfId="261" dataCellStyle="Currency">
      <calculatedColumnFormula>IF(tbl_AMD[[#This Row],[BB_Mean]]="", "", tbl_AMD[[#This Row],[BB_Mean]]-(BB_Width*tbl_AMD[[#This Row],[BB_Stdev]]))</calculatedColumnFormula>
    </tableColumn>
    <tableColumn id="13" xr3:uid="{00000000-0010-0000-0F00-00000D000000}" name="Move" dataDxfId="260">
      <calculatedColumnFormula>IF(ROW(tbl_AMD[[#This Row],[Adj Close]])=5, 0, $F5-$F4)</calculatedColumnFormula>
    </tableColumn>
    <tableColumn id="14" xr3:uid="{00000000-0010-0000-0F00-00000E000000}" name="Upmove" dataDxfId="259">
      <calculatedColumnFormula>MAX(tbl_AMD[[#This Row],[Move]],0)</calculatedColumnFormula>
    </tableColumn>
    <tableColumn id="15" xr3:uid="{00000000-0010-0000-0F00-00000F000000}" name="Downmove" dataDxfId="258">
      <calculatedColumnFormula>MAX(-tbl_AMD[[#This Row],[Move]],0)</calculatedColumnFormula>
    </tableColumn>
    <tableColumn id="16" xr3:uid="{00000000-0010-0000-0F00-000010000000}" name="Avg_Upmove" dataDxfId="25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F00-000011000000}" name="Avg_Downmove" dataDxfId="25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F00-000012000000}" name="RS" dataDxfId="255">
      <calculatedColumnFormula>IF(tbl_AMD[[#This Row],[Avg_Upmove]]="", "", tbl_AMD[[#This Row],[Avg_Upmove]]/tbl_AMD[[#This Row],[Avg_Downmove]])</calculatedColumnFormula>
    </tableColumn>
    <tableColumn id="19" xr3:uid="{00000000-0010-0000-0F00-000013000000}" name="BB_Stdev" totalsRowFunction="count" totalsRowDxfId="25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bl_CVX" displayName="tbl_CVX" ref="A4:S74" totalsRowCount="1">
  <autoFilter ref="A4:S73" xr:uid="{00000000-0009-0000-0100-000013000000}"/>
  <tableColumns count="19">
    <tableColumn id="1" xr3:uid="{00000000-0010-0000-1000-000001000000}" name="Date" totalsRowLabel="Total" dataDxfId="253"/>
    <tableColumn id="2" xr3:uid="{00000000-0010-0000-1000-000002000000}" name="Open" totalsRowDxfId="252" dataCellStyle="Currency"/>
    <tableColumn id="3" xr3:uid="{00000000-0010-0000-1000-000003000000}" name="High" totalsRowDxfId="251" dataCellStyle="Currency"/>
    <tableColumn id="4" xr3:uid="{00000000-0010-0000-1000-000004000000}" name="Low" totalsRowDxfId="250" dataCellStyle="Currency"/>
    <tableColumn id="5" xr3:uid="{00000000-0010-0000-1000-000005000000}" name="Close" totalsRowDxfId="249" dataCellStyle="Currency"/>
    <tableColumn id="6" xr3:uid="{00000000-0010-0000-1000-000006000000}" name="Adj Close" totalsRowDxfId="248" dataCellStyle="Currency"/>
    <tableColumn id="7" xr3:uid="{00000000-0010-0000-1000-000007000000}" name="Volume"/>
    <tableColumn id="8" xr3:uid="{00000000-0010-0000-1000-000008000000}" name="EMA" totalsRowDxfId="247" dataCellStyle="Currency">
      <calculatedColumnFormula>IF(tbl_CVX[[#This Row],[Date]]=$A$5, $F5, EMA_Beta*$H4 + (1-EMA_Beta)*$F5)</calculatedColumnFormula>
    </tableColumn>
    <tableColumn id="9" xr3:uid="{00000000-0010-0000-1000-000009000000}" name="RSI" dataDxfId="246">
      <calculatedColumnFormula>IF(tbl_CVX[[#This Row],[RS]]= "", "", 100-(100/(1+tbl_CVX[[#This Row],[RS]])))</calculatedColumnFormula>
    </tableColumn>
    <tableColumn id="10" xr3:uid="{00000000-0010-0000-1000-00000A000000}" name="BB_Mean" totalsRowDxfId="24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000-00000B000000}" name="BB_Upper" totalsRowDxfId="244" dataCellStyle="Currency">
      <calculatedColumnFormula>IF(tbl_CVX[[#This Row],[BB_Mean]]="", "", tbl_CVX[[#This Row],[BB_Mean]]+(BB_Width*tbl_CVX[[#This Row],[BB_Stdev]]))</calculatedColumnFormula>
    </tableColumn>
    <tableColumn id="12" xr3:uid="{00000000-0010-0000-1000-00000C000000}" name="BB_Lower" totalsRowDxfId="243" dataCellStyle="Currency">
      <calculatedColumnFormula>IF(tbl_CVX[[#This Row],[BB_Mean]]="", "", tbl_CVX[[#This Row],[BB_Mean]]-(BB_Width*tbl_CVX[[#This Row],[BB_Stdev]]))</calculatedColumnFormula>
    </tableColumn>
    <tableColumn id="13" xr3:uid="{00000000-0010-0000-1000-00000D000000}" name="Move" dataDxfId="242">
      <calculatedColumnFormula>IF(ROW(tbl_CVX[[#This Row],[Adj Close]])=5, 0, $F5-$F4)</calculatedColumnFormula>
    </tableColumn>
    <tableColumn id="14" xr3:uid="{00000000-0010-0000-1000-00000E000000}" name="Upmove" dataDxfId="241">
      <calculatedColumnFormula>MAX(tbl_CVX[[#This Row],[Move]],0)</calculatedColumnFormula>
    </tableColumn>
    <tableColumn id="15" xr3:uid="{00000000-0010-0000-1000-00000F000000}" name="Downmove" dataDxfId="240">
      <calculatedColumnFormula>MAX(-tbl_CVX[[#This Row],[Move]],0)</calculatedColumnFormula>
    </tableColumn>
    <tableColumn id="16" xr3:uid="{00000000-0010-0000-1000-000010000000}" name="Avg_Upmove" dataDxfId="23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000-000011000000}" name="Avg_Downmove" dataDxfId="23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000-000012000000}" name="RS" dataDxfId="237">
      <calculatedColumnFormula>IF(tbl_CVX[[#This Row],[Avg_Upmove]]="", "", tbl_CVX[[#This Row],[Avg_Upmove]]/tbl_CVX[[#This Row],[Avg_Downmove]])</calculatedColumnFormula>
    </tableColumn>
    <tableColumn id="19" xr3:uid="{00000000-0010-0000-1000-000013000000}" name="BB_Stdev" totalsRowFunction="count" totalsRowDxfId="23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bl_QCOM" displayName="tbl_QCOM" ref="A4:S74" totalsRowCount="1">
  <autoFilter ref="A4:S73" xr:uid="{00000000-0009-0000-0100-000014000000}"/>
  <tableColumns count="19">
    <tableColumn id="1" xr3:uid="{00000000-0010-0000-1100-000001000000}" name="Date" totalsRowLabel="Total" dataDxfId="235"/>
    <tableColumn id="2" xr3:uid="{00000000-0010-0000-1100-000002000000}" name="Open" totalsRowDxfId="234" dataCellStyle="Currency"/>
    <tableColumn id="3" xr3:uid="{00000000-0010-0000-1100-000003000000}" name="High" totalsRowDxfId="233" dataCellStyle="Currency"/>
    <tableColumn id="4" xr3:uid="{00000000-0010-0000-1100-000004000000}" name="Low" totalsRowDxfId="232" dataCellStyle="Currency"/>
    <tableColumn id="5" xr3:uid="{00000000-0010-0000-1100-000005000000}" name="Close" totalsRowDxfId="231" dataCellStyle="Currency"/>
    <tableColumn id="6" xr3:uid="{00000000-0010-0000-1100-000006000000}" name="Adj Close" totalsRowDxfId="230" dataCellStyle="Currency"/>
    <tableColumn id="7" xr3:uid="{00000000-0010-0000-1100-000007000000}" name="Volume"/>
    <tableColumn id="8" xr3:uid="{00000000-0010-0000-1100-000008000000}" name="EMA" totalsRowDxfId="229" dataCellStyle="Currency">
      <calculatedColumnFormula>IF(tbl_QCOM[[#This Row],[Date]]=$A$5, $F5, EMA_Beta*$H4 + (1-EMA_Beta)*$F5)</calculatedColumnFormula>
    </tableColumn>
    <tableColumn id="9" xr3:uid="{00000000-0010-0000-1100-000009000000}" name="RSI" dataDxfId="228">
      <calculatedColumnFormula>IF(tbl_QCOM[[#This Row],[RS]]= "", "", 100-(100/(1+tbl_QCOM[[#This Row],[RS]])))</calculatedColumnFormula>
    </tableColumn>
    <tableColumn id="10" xr3:uid="{00000000-0010-0000-1100-00000A000000}" name="BB_Mean" totalsRowDxfId="22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100-00000B000000}" name="BB_Upper" totalsRowDxfId="226" dataCellStyle="Currency">
      <calculatedColumnFormula>IF(tbl_QCOM[[#This Row],[BB_Mean]]="", "", tbl_QCOM[[#This Row],[BB_Mean]]+(BB_Width*tbl_QCOM[[#This Row],[BB_Stdev]]))</calculatedColumnFormula>
    </tableColumn>
    <tableColumn id="12" xr3:uid="{00000000-0010-0000-1100-00000C000000}" name="BB_Lower" totalsRowDxfId="225" dataCellStyle="Currency">
      <calculatedColumnFormula>IF(tbl_QCOM[[#This Row],[BB_Mean]]="", "", tbl_QCOM[[#This Row],[BB_Mean]]-(BB_Width*tbl_QCOM[[#This Row],[BB_Stdev]]))</calculatedColumnFormula>
    </tableColumn>
    <tableColumn id="13" xr3:uid="{00000000-0010-0000-1100-00000D000000}" name="Move" dataDxfId="224">
      <calculatedColumnFormula>IF(ROW(tbl_QCOM[[#This Row],[Adj Close]])=5, 0, $F5-$F4)</calculatedColumnFormula>
    </tableColumn>
    <tableColumn id="14" xr3:uid="{00000000-0010-0000-1100-00000E000000}" name="Upmove" dataDxfId="223">
      <calculatedColumnFormula>MAX(tbl_QCOM[[#This Row],[Move]],0)</calculatedColumnFormula>
    </tableColumn>
    <tableColumn id="15" xr3:uid="{00000000-0010-0000-1100-00000F000000}" name="Downmove" dataDxfId="222">
      <calculatedColumnFormula>MAX(-tbl_QCOM[[#This Row],[Move]],0)</calculatedColumnFormula>
    </tableColumn>
    <tableColumn id="16" xr3:uid="{00000000-0010-0000-1100-000010000000}" name="Avg_Upmove" dataDxfId="22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100-000011000000}" name="Avg_Downmove" dataDxfId="22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100-000012000000}" name="RS" dataDxfId="219">
      <calculatedColumnFormula>IF(tbl_QCOM[[#This Row],[Avg_Upmove]]="", "", tbl_QCOM[[#This Row],[Avg_Upmove]]/tbl_QCOM[[#This Row],[Avg_Downmove]])</calculatedColumnFormula>
    </tableColumn>
    <tableColumn id="19" xr3:uid="{00000000-0010-0000-1100-000013000000}" name="BB_Stdev" totalsRowFunction="count" totalsRowDxfId="21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bl_F" displayName="tbl_F" ref="A4:S74" totalsRowCount="1">
  <autoFilter ref="A4:S73" xr:uid="{00000000-0009-0000-0100-000015000000}"/>
  <tableColumns count="19">
    <tableColumn id="1" xr3:uid="{00000000-0010-0000-1200-000001000000}" name="Date" totalsRowLabel="Total" dataDxfId="217"/>
    <tableColumn id="2" xr3:uid="{00000000-0010-0000-1200-000002000000}" name="Open" totalsRowDxfId="216" dataCellStyle="Currency"/>
    <tableColumn id="3" xr3:uid="{00000000-0010-0000-1200-000003000000}" name="High" totalsRowDxfId="215" dataCellStyle="Currency"/>
    <tableColumn id="4" xr3:uid="{00000000-0010-0000-1200-000004000000}" name="Low" totalsRowDxfId="214" dataCellStyle="Currency"/>
    <tableColumn id="5" xr3:uid="{00000000-0010-0000-1200-000005000000}" name="Close" totalsRowDxfId="213" dataCellStyle="Currency"/>
    <tableColumn id="6" xr3:uid="{00000000-0010-0000-1200-000006000000}" name="Adj Close" totalsRowDxfId="212" dataCellStyle="Currency"/>
    <tableColumn id="7" xr3:uid="{00000000-0010-0000-1200-000007000000}" name="Volume"/>
    <tableColumn id="8" xr3:uid="{00000000-0010-0000-1200-000008000000}" name="EMA" totalsRowDxfId="211" dataCellStyle="Currency">
      <calculatedColumnFormula>IF(tbl_F[[#This Row],[Date]]=$A$5, $F5, EMA_Beta*$H4 + (1-EMA_Beta)*$F5)</calculatedColumnFormula>
    </tableColumn>
    <tableColumn id="9" xr3:uid="{00000000-0010-0000-1200-000009000000}" name="RSI" dataDxfId="210">
      <calculatedColumnFormula>IF(tbl_F[[#This Row],[RS]]= "", "", 100-(100/(1+tbl_F[[#This Row],[RS]])))</calculatedColumnFormula>
    </tableColumn>
    <tableColumn id="10" xr3:uid="{00000000-0010-0000-1200-00000A000000}" name="BB_Mean" totalsRowDxfId="209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200-00000B000000}" name="BB_Upper" totalsRowDxfId="208" dataCellStyle="Currency">
      <calculatedColumnFormula>IF(tbl_F[[#This Row],[BB_Mean]]="", "", tbl_F[[#This Row],[BB_Mean]]+(BB_Width*tbl_F[[#This Row],[BB_Stdev]]))</calculatedColumnFormula>
    </tableColumn>
    <tableColumn id="12" xr3:uid="{00000000-0010-0000-1200-00000C000000}" name="BB_Lower" totalsRowDxfId="207" dataCellStyle="Currency">
      <calculatedColumnFormula>IF(tbl_F[[#This Row],[BB_Mean]]="", "", tbl_F[[#This Row],[BB_Mean]]-(BB_Width*tbl_F[[#This Row],[BB_Stdev]]))</calculatedColumnFormula>
    </tableColumn>
    <tableColumn id="13" xr3:uid="{00000000-0010-0000-1200-00000D000000}" name="Move" dataDxfId="206">
      <calculatedColumnFormula>IF(ROW(tbl_F[[#This Row],[Adj Close]])=5, 0, $F5-$F4)</calculatedColumnFormula>
    </tableColumn>
    <tableColumn id="14" xr3:uid="{00000000-0010-0000-1200-00000E000000}" name="Upmove" dataDxfId="205">
      <calculatedColumnFormula>MAX(tbl_F[[#This Row],[Move]],0)</calculatedColumnFormula>
    </tableColumn>
    <tableColumn id="15" xr3:uid="{00000000-0010-0000-1200-00000F000000}" name="Downmove" dataDxfId="204">
      <calculatedColumnFormula>MAX(-tbl_F[[#This Row],[Move]],0)</calculatedColumnFormula>
    </tableColumn>
    <tableColumn id="16" xr3:uid="{00000000-0010-0000-1200-000010000000}" name="Avg_Upmove" dataDxfId="20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200-000011000000}" name="Avg_Downmove" dataDxfId="20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200-000012000000}" name="RS" dataDxfId="201">
      <calculatedColumnFormula>IF(tbl_F[[#This Row],[Avg_Upmove]]="", "", tbl_F[[#This Row],[Avg_Upmove]]/tbl_F[[#This Row],[Avg_Downmove]])</calculatedColumnFormula>
    </tableColumn>
    <tableColumn id="19" xr3:uid="{00000000-0010-0000-1200-000013000000}" name="BB_Stdev" totalsRowFunction="count" totalsRowDxfId="20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ymbol" displayName="tbl_symbol" ref="A3:A25" totalsRowShown="0" headerRowDxfId="479">
  <autoFilter ref="A3:A25" xr:uid="{00000000-0009-0000-0100-000001000000}"/>
  <tableColumns count="1">
    <tableColumn id="1" xr3:uid="{00000000-0010-0000-0100-000001000000}" name="Symbol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8BD3864-2685-4D22-B68D-343D0FAC100A}" name="tbl_LTHM" displayName="tbl_LTHM" ref="A4:S74" totalsRowCount="1">
  <autoFilter ref="A4:S73" xr:uid="{00000000-0009-0000-0100-000015000000}"/>
  <tableColumns count="19">
    <tableColumn id="1" xr3:uid="{96B33CE0-C23F-4CA7-98B9-511A51945E7F}" name="Date" totalsRowLabel="Total" dataDxfId="199"/>
    <tableColumn id="2" xr3:uid="{D9D80DB9-003E-48C6-9B1A-A205E99B9FF9}" name="Open" totalsRowDxfId="198" dataCellStyle="Currency"/>
    <tableColumn id="3" xr3:uid="{5E1630C0-FDE7-436F-873D-5B882776AD84}" name="High" totalsRowDxfId="197" dataCellStyle="Currency"/>
    <tableColumn id="4" xr3:uid="{B2A4A40B-733F-47D7-AA83-3AC52EEA4985}" name="Low" totalsRowDxfId="196" dataCellStyle="Currency"/>
    <tableColumn id="5" xr3:uid="{F4ECF193-C440-4EF2-82E4-3B904728BEC1}" name="Close" totalsRowDxfId="195" dataCellStyle="Currency"/>
    <tableColumn id="6" xr3:uid="{C0D1C366-90AD-4897-9AFD-A4A7B1B8E464}" name="Adj Close" totalsRowDxfId="194" dataCellStyle="Currency"/>
    <tableColumn id="7" xr3:uid="{787F9A11-5FA4-48BF-8598-8B9258CF5C39}" name="Volume"/>
    <tableColumn id="8" xr3:uid="{08FB11B5-3FAD-42F4-822C-11A336E329B3}" name="EMA" totalsRowDxfId="193" dataCellStyle="Currency">
      <calculatedColumnFormula>IF(tbl_LTHM[[#This Row],[Date]]=$A$5, $F5, EMA_Beta*$H4 + (1-EMA_Beta)*$F5)</calculatedColumnFormula>
    </tableColumn>
    <tableColumn id="9" xr3:uid="{651F7290-BB22-4FF7-A921-C4F31C844972}" name="RSI" dataDxfId="192">
      <calculatedColumnFormula>IF(tbl_LTHM[[#This Row],[RS]]= "", "", 100-(100/(1+tbl_LTHM[[#This Row],[RS]])))</calculatedColumnFormula>
    </tableColumn>
    <tableColumn id="10" xr3:uid="{72A26CE9-87AD-47F5-9899-455EF0A2605C}" name="BB_Mean" totalsRowDxfId="19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3A9FDD6B-9972-4AD2-A16A-5A6C1B895E39}" name="BB_Upper" totalsRowDxfId="190" dataCellStyle="Currency">
      <calculatedColumnFormula>IF(tbl_LTHM[[#This Row],[BB_Mean]]="", "", tbl_LTHM[[#This Row],[BB_Mean]]+(BB_Width*tbl_LTHM[[#This Row],[BB_Stdev]]))</calculatedColumnFormula>
    </tableColumn>
    <tableColumn id="12" xr3:uid="{7754EA68-4E43-4A6B-AAC8-8DD5F60EAD66}" name="BB_Lower" totalsRowDxfId="189" dataCellStyle="Currency">
      <calculatedColumnFormula>IF(tbl_LTHM[[#This Row],[BB_Mean]]="", "", tbl_LTHM[[#This Row],[BB_Mean]]-(BB_Width*tbl_LTHM[[#This Row],[BB_Stdev]]))</calculatedColumnFormula>
    </tableColumn>
    <tableColumn id="13" xr3:uid="{99BF6118-0E4C-46CB-86C7-67ECF7E6E9FE}" name="Move" dataDxfId="188">
      <calculatedColumnFormula>IF(ROW(tbl_LTHM[[#This Row],[Adj Close]])=5, 0, $F5-$F4)</calculatedColumnFormula>
    </tableColumn>
    <tableColumn id="14" xr3:uid="{40563122-1004-42FF-B17D-675CE19085B0}" name="Upmove" dataDxfId="187">
      <calculatedColumnFormula>MAX(tbl_LTHM[[#This Row],[Move]],0)</calculatedColumnFormula>
    </tableColumn>
    <tableColumn id="15" xr3:uid="{FFDFF669-8427-4B74-88E9-CBD1B8239E6A}" name="Downmove" dataDxfId="186">
      <calculatedColumnFormula>MAX(-tbl_LTHM[[#This Row],[Move]],0)</calculatedColumnFormula>
    </tableColumn>
    <tableColumn id="16" xr3:uid="{ADC8C0EF-0816-487D-9081-280B0231FD1E}" name="Avg_Upmove" dataDxfId="18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E33088F6-F968-4AF2-8337-EC828C6F1838}" name="Avg_Downmove" dataDxfId="18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1853456C-6DAD-4125-95DE-1FCBCF6FAA37}" name="RS" dataDxfId="183">
      <calculatedColumnFormula>IF(tbl_LTHM[[#This Row],[Avg_Upmove]]="", "", tbl_LTHM[[#This Row],[Avg_Upmove]]/tbl_LTHM[[#This Row],[Avg_Downmove]])</calculatedColumnFormula>
    </tableColumn>
    <tableColumn id="19" xr3:uid="{1AAE7FA7-38B7-4D90-8B59-BBAF9FF1C286}" name="BB_Stdev" totalsRowFunction="count" totalsRowDxfId="18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7CA706A-D14D-4318-B906-5930C144A9D8}" name="tbl_RCL" displayName="tbl_RCL" ref="A4:S74" totalsRowCount="1">
  <autoFilter ref="A4:S73" xr:uid="{00000000-0009-0000-0100-000015000000}"/>
  <tableColumns count="19">
    <tableColumn id="1" xr3:uid="{F823A6C2-64D9-4CCF-902C-BC4858652789}" name="Date" totalsRowLabel="Total" dataDxfId="181"/>
    <tableColumn id="2" xr3:uid="{0B1C94A1-7B31-4B43-A535-62E82C5B673E}" name="Open" totalsRowDxfId="180" dataCellStyle="Currency"/>
    <tableColumn id="3" xr3:uid="{E29F5C0B-22B0-4BB6-A7FF-923E4858A44F}" name="High" totalsRowDxfId="179" dataCellStyle="Currency"/>
    <tableColumn id="4" xr3:uid="{B9C676C4-0799-4396-A870-E60A1E332EE9}" name="Low" totalsRowDxfId="178" dataCellStyle="Currency"/>
    <tableColumn id="5" xr3:uid="{D690D8ED-9E66-4B7D-A70D-9FCBE590143F}" name="Close" totalsRowDxfId="177" dataCellStyle="Currency"/>
    <tableColumn id="6" xr3:uid="{1283294B-E67A-4716-8E8D-79246D161D6E}" name="Adj Close" totalsRowDxfId="176" dataCellStyle="Currency"/>
    <tableColumn id="7" xr3:uid="{521169CB-56CF-4DCA-9735-B71C4EC52EBC}" name="Volume"/>
    <tableColumn id="8" xr3:uid="{F9B205C6-C2F6-4E6F-9943-AFCF1B578559}" name="EMA" totalsRowDxfId="175" dataCellStyle="Currency">
      <calculatedColumnFormula>IF(tbl_RCL[[#This Row],[Date]]=$A$5, $F5, EMA_Beta*$H4 + (1-EMA_Beta)*$F5)</calculatedColumnFormula>
    </tableColumn>
    <tableColumn id="9" xr3:uid="{254FA95C-3C4E-451A-B3F8-5E4E418531BB}" name="RSI" dataDxfId="174">
      <calculatedColumnFormula>IF(tbl_RCL[[#This Row],[RS]]= "", "", 100-(100/(1+tbl_RCL[[#This Row],[RS]])))</calculatedColumnFormula>
    </tableColumn>
    <tableColumn id="10" xr3:uid="{3848765C-9E97-41E7-BFAC-3B133BF8DCE7}" name="BB_Mean" totalsRowDxfId="17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8261D56B-35EB-4683-9FCD-F8BC6748B39E}" name="BB_Upper" totalsRowDxfId="172" dataCellStyle="Currency">
      <calculatedColumnFormula>IF(tbl_RCL[[#This Row],[BB_Mean]]="", "", tbl_RCL[[#This Row],[BB_Mean]]+(BB_Width*tbl_RCL[[#This Row],[BB_Stdev]]))</calculatedColumnFormula>
    </tableColumn>
    <tableColumn id="12" xr3:uid="{389C4BB3-2663-4199-BFFF-BA95EEE2338C}" name="BB_Lower" totalsRowDxfId="171" dataCellStyle="Currency">
      <calculatedColumnFormula>IF(tbl_RCL[[#This Row],[BB_Mean]]="", "", tbl_RCL[[#This Row],[BB_Mean]]-(BB_Width*tbl_RCL[[#This Row],[BB_Stdev]]))</calculatedColumnFormula>
    </tableColumn>
    <tableColumn id="13" xr3:uid="{D7D7EEAB-74DA-4240-BBA8-8EFBCD37D804}" name="Move" dataDxfId="170">
      <calculatedColumnFormula>IF(ROW(tbl_RCL[[#This Row],[Adj Close]])=5, 0, $F5-$F4)</calculatedColumnFormula>
    </tableColumn>
    <tableColumn id="14" xr3:uid="{ED879166-EA4B-47F2-9156-2FA5767E6245}" name="Upmove" dataDxfId="169">
      <calculatedColumnFormula>MAX(tbl_RCL[[#This Row],[Move]],0)</calculatedColumnFormula>
    </tableColumn>
    <tableColumn id="15" xr3:uid="{EE54A657-4BD6-4613-8321-0EA59DEA9DB6}" name="Downmove" dataDxfId="168">
      <calculatedColumnFormula>MAX(-tbl_RCL[[#This Row],[Move]],0)</calculatedColumnFormula>
    </tableColumn>
    <tableColumn id="16" xr3:uid="{25B8A9AF-C7BC-46D6-B826-9376A4D67599}" name="Avg_Upmove" dataDxfId="16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CE538631-C4C1-4EFA-8D96-5E36B07A0E47}" name="Avg_Downmove" dataDxfId="16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E7970D00-3DDA-4F8A-A8C1-6F284FFE7AB3}" name="RS" dataDxfId="165">
      <calculatedColumnFormula>IF(tbl_RCL[[#This Row],[Avg_Upmove]]="", "", tbl_RCL[[#This Row],[Avg_Upmove]]/tbl_RCL[[#This Row],[Avg_Downmove]])</calculatedColumnFormula>
    </tableColumn>
    <tableColumn id="19" xr3:uid="{F15C1A51-DA01-45AD-80FF-9DC40D095D56}" name="BB_Stdev" totalsRowFunction="count" totalsRowDxfId="16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F562BF9-CE5A-46F1-A231-9C3E3249BA03}" name="tbl_OIL" displayName="tbl_OIL" ref="A4:S74" totalsRowCount="1">
  <autoFilter ref="A4:S73" xr:uid="{00000000-0009-0000-0100-000015000000}"/>
  <tableColumns count="19">
    <tableColumn id="1" xr3:uid="{67D52E1B-F23A-4E82-A120-3134C35A2731}" name="Date" totalsRowLabel="Total" dataDxfId="163"/>
    <tableColumn id="2" xr3:uid="{F47BD5B9-7BF7-4565-A6DB-E3D5FCFA636C}" name="Open" totalsRowDxfId="162" dataCellStyle="Currency"/>
    <tableColumn id="3" xr3:uid="{AC7C56E6-575E-4A05-B409-B7EAF06E73A4}" name="High" totalsRowDxfId="161" dataCellStyle="Currency"/>
    <tableColumn id="4" xr3:uid="{44AC2834-36AA-4B4F-A5E1-9CA9704B7FE3}" name="Low" totalsRowDxfId="160" dataCellStyle="Currency"/>
    <tableColumn id="5" xr3:uid="{96216568-D6A8-4EF6-8D11-86021C625BF8}" name="Close" totalsRowDxfId="159" dataCellStyle="Currency"/>
    <tableColumn id="6" xr3:uid="{7090A376-5998-45AB-BCCC-792E1E490D7E}" name="Adj Close" totalsRowDxfId="158" dataCellStyle="Currency"/>
    <tableColumn id="7" xr3:uid="{30C825FC-3DB6-4C35-BD79-541AE697E26A}" name="Volume"/>
    <tableColumn id="8" xr3:uid="{B008A5C8-29B2-41A1-AF9E-391C7CB9AC0B}" name="EMA" totalsRowDxfId="157" dataCellStyle="Currency">
      <calculatedColumnFormula>IF(tbl_OIL[[#This Row],[Date]]=$A$5, $F5, EMA_Beta*$H4 + (1-EMA_Beta)*$F5)</calculatedColumnFormula>
    </tableColumn>
    <tableColumn id="9" xr3:uid="{D490FFAF-B8F3-4773-96CF-6A19A7B66D62}" name="RSI" dataDxfId="156">
      <calculatedColumnFormula>IF(tbl_OIL[[#This Row],[RS]]= "", "", 100-(100/(1+tbl_OIL[[#This Row],[RS]])))</calculatedColumnFormula>
    </tableColumn>
    <tableColumn id="10" xr3:uid="{DABD5440-4A07-43D9-9252-4CFE56CBB1FA}" name="BB_Mean" totalsRowDxfId="15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4C0A764D-08ED-4E15-BD3B-7BFE076D4AAF}" name="BB_Upper" totalsRowDxfId="154" dataCellStyle="Currency">
      <calculatedColumnFormula>IF(tbl_OIL[[#This Row],[BB_Mean]]="", "", tbl_OIL[[#This Row],[BB_Mean]]+(BB_Width*tbl_OIL[[#This Row],[BB_Stdev]]))</calculatedColumnFormula>
    </tableColumn>
    <tableColumn id="12" xr3:uid="{F7906397-2872-4FD1-A808-1EF1D8DD5810}" name="BB_Lower" totalsRowDxfId="153" dataCellStyle="Currency">
      <calculatedColumnFormula>IF(tbl_OIL[[#This Row],[BB_Mean]]="", "", tbl_OIL[[#This Row],[BB_Mean]]-(BB_Width*tbl_OIL[[#This Row],[BB_Stdev]]))</calculatedColumnFormula>
    </tableColumn>
    <tableColumn id="13" xr3:uid="{F8EE8F69-AA3F-4E0C-B511-7C3253E6402F}" name="Move" dataDxfId="152">
      <calculatedColumnFormula>IF(ROW(tbl_OIL[[#This Row],[Adj Close]])=5, 0, $F5-$F4)</calculatedColumnFormula>
    </tableColumn>
    <tableColumn id="14" xr3:uid="{03E87A04-3DF4-4D8C-A0AC-F76FBBF772A2}" name="Upmove" dataDxfId="151">
      <calculatedColumnFormula>MAX(tbl_OIL[[#This Row],[Move]],0)</calculatedColumnFormula>
    </tableColumn>
    <tableColumn id="15" xr3:uid="{D44FAF2F-25D7-4744-8707-5DC438A52DBB}" name="Downmove" dataDxfId="150">
      <calculatedColumnFormula>MAX(-tbl_OIL[[#This Row],[Move]],0)</calculatedColumnFormula>
    </tableColumn>
    <tableColumn id="16" xr3:uid="{2D05BBA3-0554-4BC1-AA46-539B74B28C84}" name="Avg_Upmove" dataDxfId="14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D133DA64-72E8-4716-9F65-54E732BA0EE3}" name="Avg_Downmove" dataDxfId="14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AE8FA757-3781-4269-9EE4-CDB3658853E1}" name="RS" dataDxfId="147">
      <calculatedColumnFormula>IF(tbl_OIL[[#This Row],[Avg_Upmove]]="", "", tbl_OIL[[#This Row],[Avg_Upmove]]/tbl_OIL[[#This Row],[Avg_Downmove]])</calculatedColumnFormula>
    </tableColumn>
    <tableColumn id="19" xr3:uid="{797D249A-4102-49E4-9C8E-97797246E6F7}" name="BB_Stdev" totalsRowFunction="count" totalsRowDxfId="14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69A730F-D11C-4009-ABA0-672C3B899268}" name="tbl_VIXY" displayName="tbl_VIXY" ref="A4:S74" totalsRowCount="1">
  <autoFilter ref="A4:S73" xr:uid="{00000000-0009-0000-0100-000015000000}"/>
  <tableColumns count="19">
    <tableColumn id="1" xr3:uid="{C7A3DF67-45BD-4F93-953F-55D8E231C151}" name="Date" totalsRowLabel="Total" dataDxfId="145"/>
    <tableColumn id="2" xr3:uid="{7C64A169-9A8F-4614-B7AF-B5E4A069F250}" name="Open" totalsRowDxfId="144" dataCellStyle="Currency"/>
    <tableColumn id="3" xr3:uid="{B64E58AF-5B09-46C6-8178-ECBEED456D7A}" name="High" totalsRowDxfId="143" dataCellStyle="Currency"/>
    <tableColumn id="4" xr3:uid="{AE0F1846-E8E9-4C99-BBA2-95012931DB4F}" name="Low" totalsRowDxfId="142" dataCellStyle="Currency"/>
    <tableColumn id="5" xr3:uid="{2F1ECA6D-9BC4-4560-B548-7518A88AE89C}" name="Close" totalsRowDxfId="141" dataCellStyle="Currency"/>
    <tableColumn id="6" xr3:uid="{FE1DE381-D3CD-448F-99C7-2FAADB049F86}" name="Adj Close" totalsRowDxfId="140" dataCellStyle="Currency"/>
    <tableColumn id="7" xr3:uid="{5BA6239B-F086-437A-9EA8-ABA6A62119E7}" name="Volume"/>
    <tableColumn id="8" xr3:uid="{B21FFE8C-BD80-4F48-A2FA-339D80C237A8}" name="EMA" totalsRowDxfId="139" dataCellStyle="Currency">
      <calculatedColumnFormula>IF(tbl_VIXY[[#This Row],[Date]]=$A$5, $F5, EMA_Beta*$H4 + (1-EMA_Beta)*$F5)</calculatedColumnFormula>
    </tableColumn>
    <tableColumn id="9" xr3:uid="{FE8ED4CA-7151-4AAF-8E75-C56C2898B7E7}" name="RSI" dataDxfId="138">
      <calculatedColumnFormula>IF(tbl_VIXY[[#This Row],[RS]]= "", "", 100-(100/(1+tbl_VIXY[[#This Row],[RS]])))</calculatedColumnFormula>
    </tableColumn>
    <tableColumn id="10" xr3:uid="{4FA53ADB-B80D-4142-B044-401586B666BA}" name="BB_Mean" totalsRowDxfId="137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419B33CE-00B3-4B59-B214-EF5A70DC91F3}" name="BB_Upper" totalsRowDxfId="136" dataCellStyle="Currency">
      <calculatedColumnFormula>IF(tbl_VIXY[[#This Row],[BB_Mean]]="", "", tbl_VIXY[[#This Row],[BB_Mean]]+(BB_Width*tbl_VIXY[[#This Row],[BB_Stdev]]))</calculatedColumnFormula>
    </tableColumn>
    <tableColumn id="12" xr3:uid="{5162A03B-DD8B-40FE-8497-91F0A309CE70}" name="BB_Lower" totalsRowDxfId="135" dataCellStyle="Currency">
      <calculatedColumnFormula>IF(tbl_VIXY[[#This Row],[BB_Mean]]="", "", tbl_VIXY[[#This Row],[BB_Mean]]-(BB_Width*tbl_VIXY[[#This Row],[BB_Stdev]]))</calculatedColumnFormula>
    </tableColumn>
    <tableColumn id="13" xr3:uid="{CF9FE26C-6693-4132-90B1-76944756796E}" name="Move" dataDxfId="134">
      <calculatedColumnFormula>IF(ROW(tbl_VIXY[[#This Row],[Adj Close]])=5, 0, $F5-$F4)</calculatedColumnFormula>
    </tableColumn>
    <tableColumn id="14" xr3:uid="{F108DF1E-2808-4882-9DC1-80200A21A779}" name="Upmove" dataDxfId="133">
      <calculatedColumnFormula>MAX(tbl_VIXY[[#This Row],[Move]],0)</calculatedColumnFormula>
    </tableColumn>
    <tableColumn id="15" xr3:uid="{EBE42269-3F17-4D6F-B9B9-690F5DA137B1}" name="Downmove" dataDxfId="132">
      <calculatedColumnFormula>MAX(-tbl_VIXY[[#This Row],[Move]],0)</calculatedColumnFormula>
    </tableColumn>
    <tableColumn id="16" xr3:uid="{AFC0EDA0-E025-49F7-93B3-5A32927C99CA}" name="Avg_Upmove" dataDxfId="13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9BB1FBED-C2B2-4449-8445-669F032A3C20}" name="Avg_Downmove" dataDxfId="13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BC3B8C58-D6FF-4B91-A662-EDA6977276D2}" name="RS" dataDxfId="129">
      <calculatedColumnFormula>IF(tbl_VIXY[[#This Row],[Avg_Upmove]]="", "", tbl_VIXY[[#This Row],[Avg_Upmove]]/tbl_VIXY[[#This Row],[Avg_Downmove]])</calculatedColumnFormula>
    </tableColumn>
    <tableColumn id="19" xr3:uid="{D3856C19-65DD-45EB-9FF5-79412E8BCB91}" name="BB_Stdev" totalsRowFunction="count" totalsRowDxfId="12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D835D70-7448-4F3F-B875-B678E3A823EF}" name="tbl_LLNW" displayName="tbl_LLNW" ref="A4:S74" totalsRowCount="1">
  <autoFilter ref="A4:S73" xr:uid="{00000000-0009-0000-0100-000015000000}"/>
  <tableColumns count="19">
    <tableColumn id="1" xr3:uid="{88A36D93-E3C0-4B23-9119-4F77415F8213}" name="Date" totalsRowLabel="Total" dataDxfId="127"/>
    <tableColumn id="2" xr3:uid="{0CF529CF-DDA5-47A8-A312-D98E6AC75E7C}" name="Open" totalsRowDxfId="126" dataCellStyle="Currency"/>
    <tableColumn id="3" xr3:uid="{74532A13-A16D-4D3C-B724-58C5B2399D67}" name="High" totalsRowDxfId="125" dataCellStyle="Currency"/>
    <tableColumn id="4" xr3:uid="{849B6CFB-377C-4B46-95D8-5B96A508A688}" name="Low" totalsRowDxfId="124" dataCellStyle="Currency"/>
    <tableColumn id="5" xr3:uid="{6156ECA1-944C-4BA7-8875-929DF3F22624}" name="Close" totalsRowDxfId="123" dataCellStyle="Currency"/>
    <tableColumn id="6" xr3:uid="{0213B663-E28B-478B-AC59-A4CB52E40156}" name="Adj Close" totalsRowDxfId="122" dataCellStyle="Currency"/>
    <tableColumn id="7" xr3:uid="{C89D7A17-3FB5-433E-BE81-3B133E47A825}" name="Volume"/>
    <tableColumn id="8" xr3:uid="{E7667A73-C3C4-41BC-A1AF-EE4E325542A2}" name="EMA" totalsRowDxfId="121" dataCellStyle="Currency">
      <calculatedColumnFormula>IF(tbl_LLNW[[#This Row],[Date]]=$A$5, $F5, EMA_Beta*$H4 + (1-EMA_Beta)*$F5)</calculatedColumnFormula>
    </tableColumn>
    <tableColumn id="9" xr3:uid="{2FA50F56-3891-43A1-A292-D422DDA43B12}" name="RSI" dataDxfId="120">
      <calculatedColumnFormula>IF(tbl_LLNW[[#This Row],[RS]]= "", "", 100-(100/(1+tbl_LLNW[[#This Row],[RS]])))</calculatedColumnFormula>
    </tableColumn>
    <tableColumn id="10" xr3:uid="{5F5E76C7-AEC0-4B9E-B9A3-44ADDE94CD1D}" name="BB_Mean" totalsRowDxfId="119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C25D5967-9B0E-4183-90E4-3B7145CF41E5}" name="BB_Upper" totalsRowDxfId="118" dataCellStyle="Currency">
      <calculatedColumnFormula>IF(tbl_LLNW[[#This Row],[BB_Mean]]="", "", tbl_LLNW[[#This Row],[BB_Mean]]+(BB_Width*tbl_LLNW[[#This Row],[BB_Stdev]]))</calculatedColumnFormula>
    </tableColumn>
    <tableColumn id="12" xr3:uid="{2745481F-2ADE-4C35-960C-CAA507B86A40}" name="BB_Lower" totalsRowDxfId="117" dataCellStyle="Currency">
      <calculatedColumnFormula>IF(tbl_LLNW[[#This Row],[BB_Mean]]="", "", tbl_LLNW[[#This Row],[BB_Mean]]-(BB_Width*tbl_LLNW[[#This Row],[BB_Stdev]]))</calculatedColumnFormula>
    </tableColumn>
    <tableColumn id="13" xr3:uid="{2D5F168C-2F2A-4078-8079-7A938E71259E}" name="Move" dataDxfId="116">
      <calculatedColumnFormula>IF(ROW(tbl_LLNW[[#This Row],[Adj Close]])=5, 0, $F5-$F4)</calculatedColumnFormula>
    </tableColumn>
    <tableColumn id="14" xr3:uid="{9F4DBCAB-904A-424A-8271-7B53777F5F82}" name="Upmove" dataDxfId="115">
      <calculatedColumnFormula>MAX(tbl_LLNW[[#This Row],[Move]],0)</calculatedColumnFormula>
    </tableColumn>
    <tableColumn id="15" xr3:uid="{74858CAC-7801-4F34-A555-92FAA8980F12}" name="Downmove" dataDxfId="114">
      <calculatedColumnFormula>MAX(-tbl_LLNW[[#This Row],[Move]],0)</calculatedColumnFormula>
    </tableColumn>
    <tableColumn id="16" xr3:uid="{9FFE915B-BB5D-4216-BD10-E339355BB0F6}" name="Avg_Upmove" dataDxfId="11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D641006D-015F-4FEF-AE61-7065747AE3D9}" name="Avg_Downmove" dataDxfId="11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55855874-0EDD-45F4-AA02-3C18155EFF58}" name="RS" dataDxfId="111">
      <calculatedColumnFormula>IF(tbl_LLNW[[#This Row],[Avg_Upmove]]="", "", tbl_LLNW[[#This Row],[Avg_Upmove]]/tbl_LLNW[[#This Row],[Avg_Downmove]])</calculatedColumnFormula>
    </tableColumn>
    <tableColumn id="19" xr3:uid="{E76D2073-4BB6-486A-A4E8-E44764140804}" name="BB_Stdev" totalsRowFunction="count" totalsRowDxfId="11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972A9EC-5233-4C5C-A087-EE619EC8CC69}" name="tbl_PLL" displayName="tbl_PLL" ref="A4:S74" totalsRowCount="1">
  <autoFilter ref="A4:S73" xr:uid="{00000000-0009-0000-0100-000015000000}"/>
  <tableColumns count="19">
    <tableColumn id="1" xr3:uid="{F36CAD8C-D8A1-46D8-9487-57D68BE9ADA2}" name="Date" totalsRowLabel="Total" dataDxfId="109"/>
    <tableColumn id="2" xr3:uid="{A045BA63-813B-436A-9DD6-C4CF214E83DB}" name="Open" totalsRowDxfId="108" dataCellStyle="Currency"/>
    <tableColumn id="3" xr3:uid="{5367CB72-C00B-44B7-AA23-FC530D6144F4}" name="High" totalsRowDxfId="107" dataCellStyle="Currency"/>
    <tableColumn id="4" xr3:uid="{B9F543BE-4031-4466-889C-D9629C5C5022}" name="Low" totalsRowDxfId="106" dataCellStyle="Currency"/>
    <tableColumn id="5" xr3:uid="{B9A85605-C32E-475C-B13D-538BEDE92F72}" name="Close" totalsRowDxfId="105" dataCellStyle="Currency"/>
    <tableColumn id="6" xr3:uid="{BB6DE0EE-E7C4-4C74-A41A-7FAC02BB5BD5}" name="Adj Close" totalsRowDxfId="104" dataCellStyle="Currency"/>
    <tableColumn id="7" xr3:uid="{5256EED5-1E6B-41D1-B098-EAF40709196B}" name="Volume"/>
    <tableColumn id="8" xr3:uid="{105B0D5C-DB03-4522-A8E9-32CFE6B2A52D}" name="EMA" totalsRowDxfId="103" dataCellStyle="Currency">
      <calculatedColumnFormula>IF(tbl_PLL[[#This Row],[Date]]=$A$5, $F5, EMA_Beta*$H4 + (1-EMA_Beta)*$F5)</calculatedColumnFormula>
    </tableColumn>
    <tableColumn id="9" xr3:uid="{5D5DD12A-A190-4AC9-922F-032DA6DA3935}" name="RSI" dataDxfId="102">
      <calculatedColumnFormula>IF(tbl_PLL[[#This Row],[RS]]= "", "", 100-(100/(1+tbl_PLL[[#This Row],[RS]])))</calculatedColumnFormula>
    </tableColumn>
    <tableColumn id="10" xr3:uid="{B96AAC4A-481B-40D8-B9E4-0AAAF5CB71BF}" name="BB_Mean" totalsRowDxfId="10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3C53E972-3A02-4438-9351-38C67CF87C97}" name="BB_Upper" totalsRowDxfId="100" dataCellStyle="Currency">
      <calculatedColumnFormula>IF(tbl_PLL[[#This Row],[BB_Mean]]="", "", tbl_PLL[[#This Row],[BB_Mean]]+(BB_Width*tbl_PLL[[#This Row],[BB_Stdev]]))</calculatedColumnFormula>
    </tableColumn>
    <tableColumn id="12" xr3:uid="{3CD9C043-1474-4A57-B1B7-D9747B94CC04}" name="BB_Lower" totalsRowDxfId="99" dataCellStyle="Currency">
      <calculatedColumnFormula>IF(tbl_PLL[[#This Row],[BB_Mean]]="", "", tbl_PLL[[#This Row],[BB_Mean]]-(BB_Width*tbl_PLL[[#This Row],[BB_Stdev]]))</calculatedColumnFormula>
    </tableColumn>
    <tableColumn id="13" xr3:uid="{DC09978E-140B-4457-B9BC-D1D8735A16E2}" name="Move" dataDxfId="98">
      <calculatedColumnFormula>IF(ROW(tbl_PLL[[#This Row],[Adj Close]])=5, 0, $F5-$F4)</calculatedColumnFormula>
    </tableColumn>
    <tableColumn id="14" xr3:uid="{427BC2B2-1223-432A-A0B3-A68083EF04AD}" name="Upmove" dataDxfId="97">
      <calculatedColumnFormula>MAX(tbl_PLL[[#This Row],[Move]],0)</calculatedColumnFormula>
    </tableColumn>
    <tableColumn id="15" xr3:uid="{330DA93D-B867-4D34-A999-3C38FF051DAE}" name="Downmove" dataDxfId="96">
      <calculatedColumnFormula>MAX(-tbl_PLL[[#This Row],[Move]],0)</calculatedColumnFormula>
    </tableColumn>
    <tableColumn id="16" xr3:uid="{EFD6608F-E6CD-4B31-AB2F-59B00910B828}" name="Avg_Upmove" dataDxfId="9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45E961F0-7145-4129-A86F-B8EBF8BB4214}" name="Avg_Downmove" dataDxfId="9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619BA94D-7705-46DF-81CE-609458426D6F}" name="RS" dataDxfId="93">
      <calculatedColumnFormula>IF(tbl_PLL[[#This Row],[Avg_Upmove]]="", "", tbl_PLL[[#This Row],[Avg_Upmove]]/tbl_PLL[[#This Row],[Avg_Downmove]])</calculatedColumnFormula>
    </tableColumn>
    <tableColumn id="19" xr3:uid="{7698B384-9128-4ABF-ABDE-A42FBF6A2BC8}" name="BB_Stdev" totalsRowFunction="count" totalsRowDxfId="9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FAEFF6C-B60C-40DE-8D75-CEAA8CD265E5}" name="tbl_APHA" displayName="tbl_APHA" ref="A4:S74" totalsRowCount="1">
  <autoFilter ref="A4:S73" xr:uid="{00000000-0009-0000-0100-000015000000}"/>
  <tableColumns count="19">
    <tableColumn id="1" xr3:uid="{B0ED9614-4024-4B9C-9E18-0C4459890F9F}" name="Date" totalsRowLabel="Total" dataDxfId="91"/>
    <tableColumn id="2" xr3:uid="{B6D7ADFC-F48F-42AF-9FCC-F1CCA39DAE22}" name="Open" totalsRowDxfId="90" dataCellStyle="Currency"/>
    <tableColumn id="3" xr3:uid="{AEE30091-7F5D-4D44-8809-A222C5E29FCF}" name="High" totalsRowDxfId="89" dataCellStyle="Currency"/>
    <tableColumn id="4" xr3:uid="{DCABE002-C9D2-4ABE-AE5A-A30FAC136DD1}" name="Low" totalsRowDxfId="88" dataCellStyle="Currency"/>
    <tableColumn id="5" xr3:uid="{577E2FD3-5D7D-4573-B210-B58D8FE264DA}" name="Close" totalsRowDxfId="87" dataCellStyle="Currency"/>
    <tableColumn id="6" xr3:uid="{E2C7552A-089A-47FE-AB4D-E2CFF599AEB7}" name="Adj Close" totalsRowDxfId="86" dataCellStyle="Currency"/>
    <tableColumn id="7" xr3:uid="{1456A662-BC0C-45B6-BCE7-C9A573A07482}" name="Volume"/>
    <tableColumn id="8" xr3:uid="{0772A60C-7C3D-4A7B-AECD-B53E6585E6E3}" name="EMA" totalsRowDxfId="85" dataCellStyle="Currency">
      <calculatedColumnFormula>IF(tbl_APHA[[#This Row],[Date]]=$A$5, $F5, EMA_Beta*$H4 + (1-EMA_Beta)*$F5)</calculatedColumnFormula>
    </tableColumn>
    <tableColumn id="9" xr3:uid="{2BD5EF87-0336-46F9-A610-BC7CD729F25C}" name="RSI" dataDxfId="84">
      <calculatedColumnFormula>IF(tbl_APHA[[#This Row],[RS]]= "", "", 100-(100/(1+tbl_APHA[[#This Row],[RS]])))</calculatedColumnFormula>
    </tableColumn>
    <tableColumn id="10" xr3:uid="{DC15A697-5FDD-4E26-940B-43608D26A1AE}" name="BB_Mean" totalsRowDxfId="8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5CBEFB80-50AF-463F-B31B-6BA09B2AB7DE}" name="BB_Upper" totalsRowDxfId="82" dataCellStyle="Currency">
      <calculatedColumnFormula>IF(tbl_APHA[[#This Row],[BB_Mean]]="", "", tbl_APHA[[#This Row],[BB_Mean]]+(BB_Width*tbl_APHA[[#This Row],[BB_Stdev]]))</calculatedColumnFormula>
    </tableColumn>
    <tableColumn id="12" xr3:uid="{5842EDC2-9BBC-488C-8845-8E5364CCA572}" name="BB_Lower" totalsRowDxfId="81" dataCellStyle="Currency">
      <calculatedColumnFormula>IF(tbl_APHA[[#This Row],[BB_Mean]]="", "", tbl_APHA[[#This Row],[BB_Mean]]-(BB_Width*tbl_APHA[[#This Row],[BB_Stdev]]))</calculatedColumnFormula>
    </tableColumn>
    <tableColumn id="13" xr3:uid="{C19863C7-4579-4E18-8E26-548DD099024F}" name="Move" dataDxfId="80">
      <calculatedColumnFormula>IF(ROW(tbl_APHA[[#This Row],[Adj Close]])=5, 0, $F5-$F4)</calculatedColumnFormula>
    </tableColumn>
    <tableColumn id="14" xr3:uid="{4783900B-7B25-4977-A9FB-2D8B0CF59DD4}" name="Upmove" dataDxfId="79">
      <calculatedColumnFormula>MAX(tbl_APHA[[#This Row],[Move]],0)</calculatedColumnFormula>
    </tableColumn>
    <tableColumn id="15" xr3:uid="{ED09313F-866A-47B4-BCAF-8277A97BF3AE}" name="Downmove" dataDxfId="78">
      <calculatedColumnFormula>MAX(-tbl_APHA[[#This Row],[Move]],0)</calculatedColumnFormula>
    </tableColumn>
    <tableColumn id="16" xr3:uid="{BBE33420-63E8-48F1-8026-D460385AA1D9}" name="Avg_Upmove" dataDxfId="7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5D5990E8-377C-4849-9373-15B1B0125FB3}" name="Avg_Downmove" dataDxfId="7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72D18E9B-6F34-4CBB-B390-D4C927F14195}" name="RS" dataDxfId="75">
      <calculatedColumnFormula>IF(tbl_APHA[[#This Row],[Avg_Upmove]]="", "", tbl_APHA[[#This Row],[Avg_Upmove]]/tbl_APHA[[#This Row],[Avg_Downmove]])</calculatedColumnFormula>
    </tableColumn>
    <tableColumn id="19" xr3:uid="{A012DA0D-B59F-41D5-B9DC-6221428B8BC8}" name="BB_Stdev" totalsRowFunction="count" totalsRowDxfId="7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9900DE-54ED-4A6A-B4C3-6585B3439AC8}" name="tbl_BEP" displayName="tbl_BEP" ref="A4:S74" totalsRowCount="1">
  <autoFilter ref="A4:S73" xr:uid="{00000000-0009-0000-0100-000015000000}"/>
  <tableColumns count="19">
    <tableColumn id="1" xr3:uid="{AEE28C87-9FB2-456C-94A3-DA2A69F2B80B}" name="Date" totalsRowLabel="Total" dataDxfId="73"/>
    <tableColumn id="2" xr3:uid="{C4F0190D-F6BC-4029-9D33-90D410905B6F}" name="Open" totalsRowDxfId="72" dataCellStyle="Currency"/>
    <tableColumn id="3" xr3:uid="{1AB93B17-422E-4184-AB1A-17E82FF61582}" name="High" totalsRowDxfId="71" dataCellStyle="Currency"/>
    <tableColumn id="4" xr3:uid="{A5FFD598-AC86-4C08-BFC7-1090C9079018}" name="Low" totalsRowDxfId="70" dataCellStyle="Currency"/>
    <tableColumn id="5" xr3:uid="{5A9929C2-265B-4840-8362-BF711A697FA3}" name="Close" totalsRowDxfId="69" dataCellStyle="Currency"/>
    <tableColumn id="6" xr3:uid="{90E0EFE3-A956-46B2-972C-9508FAB120DE}" name="Adj Close" totalsRowDxfId="68" dataCellStyle="Currency"/>
    <tableColumn id="7" xr3:uid="{CB011684-3A66-4539-B588-9E872D036BD8}" name="Volume"/>
    <tableColumn id="8" xr3:uid="{0169058F-0E97-4296-9155-51DF687E873E}" name="EMA" totalsRowDxfId="67" dataCellStyle="Currency">
      <calculatedColumnFormula>IF(tbl_BEP[[#This Row],[Date]]=$A$5, $F5, EMA_Beta*$H4 + (1-EMA_Beta)*$F5)</calculatedColumnFormula>
    </tableColumn>
    <tableColumn id="9" xr3:uid="{82DAC983-981D-495B-8ED7-DA27DABEF6FF}" name="RSI" dataDxfId="66">
      <calculatedColumnFormula>IF(tbl_BEP[[#This Row],[RS]]= "", "", 100-(100/(1+tbl_BEP[[#This Row],[RS]])))</calculatedColumnFormula>
    </tableColumn>
    <tableColumn id="10" xr3:uid="{20590470-9C7C-4AAE-B0F6-3479A2022EBA}" name="BB_Mean" totalsRowDxfId="6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C12600C9-89A5-438F-9D36-AB6552202E50}" name="BB_Upper" totalsRowDxfId="64" dataCellStyle="Currency">
      <calculatedColumnFormula>IF(tbl_BEP[[#This Row],[BB_Mean]]="", "", tbl_BEP[[#This Row],[BB_Mean]]+(BB_Width*tbl_BEP[[#This Row],[BB_Stdev]]))</calculatedColumnFormula>
    </tableColumn>
    <tableColumn id="12" xr3:uid="{C3A64F90-0CDD-422C-A55C-2EC1DE13884D}" name="BB_Lower" totalsRowDxfId="63" dataCellStyle="Currency">
      <calculatedColumnFormula>IF(tbl_BEP[[#This Row],[BB_Mean]]="", "", tbl_BEP[[#This Row],[BB_Mean]]-(BB_Width*tbl_BEP[[#This Row],[BB_Stdev]]))</calculatedColumnFormula>
    </tableColumn>
    <tableColumn id="13" xr3:uid="{4C217337-14CE-40C9-992C-07A6FBA76D33}" name="Move" dataDxfId="62">
      <calculatedColumnFormula>IF(ROW(tbl_BEP[[#This Row],[Adj Close]])=5, 0, $F5-$F4)</calculatedColumnFormula>
    </tableColumn>
    <tableColumn id="14" xr3:uid="{78EFD8C4-BA5A-4467-A11A-6F415498CEF2}" name="Upmove" dataDxfId="61">
      <calculatedColumnFormula>MAX(tbl_BEP[[#This Row],[Move]],0)</calculatedColumnFormula>
    </tableColumn>
    <tableColumn id="15" xr3:uid="{23025F20-5608-4003-9F06-AA4129FE397E}" name="Downmove" dataDxfId="60">
      <calculatedColumnFormula>MAX(-tbl_BEP[[#This Row],[Move]],0)</calculatedColumnFormula>
    </tableColumn>
    <tableColumn id="16" xr3:uid="{F88D09DC-807B-4CEB-A9E6-D4BA4B1BBA2F}" name="Avg_Upmove" dataDxfId="5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D6B5BBA9-8C9F-433B-B563-7F131B27A972}" name="Avg_Downmove" dataDxfId="5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88DC57B6-A080-43BB-A599-562AEC57783C}" name="RS" dataDxfId="57">
      <calculatedColumnFormula>IF(tbl_BEP[[#This Row],[Avg_Upmove]]="", "", tbl_BEP[[#This Row],[Avg_Upmove]]/tbl_BEP[[#This Row],[Avg_Downmove]])</calculatedColumnFormula>
    </tableColumn>
    <tableColumn id="19" xr3:uid="{39B78A10-274F-41B2-87A2-788AA541264B}" name="BB_Stdev" totalsRowFunction="count" totalsRowDxfId="56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bl_holdings" displayName="tbl_holdings" ref="B4:F27" totalsRowCount="1">
  <autoFilter ref="B4:F26" xr:uid="{00000000-0009-0000-0100-00000B000000}"/>
  <tableColumns count="5">
    <tableColumn id="1" xr3:uid="{00000000-0010-0000-1300-000001000000}" name="Index" totalsRowLabel="Total"/>
    <tableColumn id="2" xr3:uid="{00000000-0010-0000-1300-000002000000}" name="Stock">
      <calculatedColumnFormula>INDEX(Symbol,B5)</calculatedColumnFormula>
    </tableColumn>
    <tableColumn id="3" xr3:uid="{00000000-0010-0000-1300-000003000000}" name="Current Price">
      <calculatedColumnFormula>INDEX(INDIRECT("tbl_"&amp;C5),COUNT(INDIRECT("tbl_"&amp;C5&amp;"[Date]")), MATCH("Adj close", Price_Header,0))</calculatedColumnFormula>
    </tableColumn>
    <tableColumn id="4" xr3:uid="{00000000-0010-0000-1300-000004000000}" name="# Holdings">
      <calculatedColumnFormula>INDEX(tbl_position[], COUNT(tbl_position[Date]), MATCH("Shares_"&amp;C5, pos_header,0))</calculatedColumnFormula>
    </tableColumn>
    <tableColumn id="5" xr3:uid="{00000000-0010-0000-1300-000005000000}" name="Total" totalsRowFunction="sum" dataDxfId="55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4000000}" name="tbl_transsummary" displayName="tbl_transsummary" ref="J4:P13" totalsRowShown="0">
  <autoFilter ref="J4:P13" xr:uid="{00000000-0009-0000-0100-00000F000000}"/>
  <tableColumns count="7">
    <tableColumn id="1" xr3:uid="{00000000-0010-0000-1400-000001000000}" name="Index"/>
    <tableColumn id="2" xr3:uid="{00000000-0010-0000-1400-000002000000}" name="Start" dataDxfId="54">
      <calculatedColumnFormula>K4+7</calculatedColumnFormula>
    </tableColumn>
    <tableColumn id="3" xr3:uid="{00000000-0010-0000-1400-000003000000}" name="End" dataDxfId="53">
      <calculatedColumnFormula>L4+7</calculatedColumnFormula>
    </tableColumn>
    <tableColumn id="4" xr3:uid="{00000000-0010-0000-1400-000004000000}" name="BUY" dataDxfId="52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xr3:uid="{00000000-0010-0000-1400-000005000000}" name="SELL" dataDxfId="51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xr3:uid="{00000000-0010-0000-1400-000006000000}" name="SHORT" dataDxfId="50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xr3:uid="{00000000-0010-0000-1400-000007000000}" name="COVER" dataDxfId="49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ranstype" displayName="tbl_transtype" ref="C3:C7" totalsRowShown="0" headerRowDxfId="478">
  <autoFilter ref="C3:C7" xr:uid="{00000000-0009-0000-0100-000002000000}"/>
  <tableColumns count="1">
    <tableColumn id="1" xr3:uid="{00000000-0010-0000-0200-000001000000}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bl_Metrics" displayName="tbl_Metrics" ref="E3:E6" totalsRowShown="0" headerRowDxfId="477">
  <autoFilter ref="E3:E6" xr:uid="{00000000-0009-0000-0100-000007000000}"/>
  <tableColumns count="1">
    <tableColumn id="1" xr3:uid="{00000000-0010-0000-0300-000001000000}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position" displayName="tbl_position" ref="A4:AX52" totalsRowCount="1">
  <autoFilter ref="A4:AX51" xr:uid="{00000000-0009-0000-0100-000004000000}"/>
  <tableColumns count="50">
    <tableColumn id="1" xr3:uid="{00000000-0010-0000-0400-000001000000}" name="Date" totalsRowLabel="Total" dataDxfId="48"/>
    <tableColumn id="2" xr3:uid="{00000000-0010-0000-0400-000002000000}" name="Price_AAPL" totalsRowFunction="count" dataCellStyle="Currency">
      <calculatedColumnFormula>VLOOKUP(tbl_position[[#This Row],[Date]], tbl_AAPL[], 5, 0)</calculatedColumnFormula>
    </tableColumn>
    <tableColumn id="3" xr3:uid="{00000000-0010-0000-0400-000003000000}" name="Price_RIOT" dataDxfId="47" dataCellStyle="Currency">
      <calculatedColumnFormula>VLOOKUP(tbl_position[[#This Row],[Date]], tbl_RIOT[], 5, 0)</calculatedColumnFormula>
    </tableColumn>
    <tableColumn id="4" xr3:uid="{00000000-0010-0000-0400-000004000000}" name="Price_HD" totalsRowDxfId="1" dataCellStyle="Currency">
      <calculatedColumnFormula>VLOOKUP(tbl_position[[#This Row],[Date]], tbl_HD[], 5, 0)</calculatedColumnFormula>
    </tableColumn>
    <tableColumn id="5" xr3:uid="{00000000-0010-0000-0400-000005000000}" name="Price_WMT" dataDxfId="46" dataCellStyle="Currency">
      <calculatedColumnFormula>VLOOKUP(tbl_position[[#This Row],[Date]], tbl_WMT[], 5, 0)</calculatedColumnFormula>
    </tableColumn>
    <tableColumn id="6" xr3:uid="{00000000-0010-0000-0400-000006000000}" name="Price_IBM" dataDxfId="45" dataCellStyle="Currency">
      <calculatedColumnFormula>VLOOKUP(tbl_position[[#This Row],[Date]], tbl_IBM[], 5, 0)</calculatedColumnFormula>
    </tableColumn>
    <tableColumn id="7" xr3:uid="{00000000-0010-0000-0400-000007000000}" name="Price_ORCL" dataDxfId="44" dataCellStyle="Currency">
      <calculatedColumnFormula>VLOOKUP(tbl_position[[#This Row],[Date]], tbl_ORCL[], 5, 0)</calculatedColumnFormula>
    </tableColumn>
    <tableColumn id="20" xr3:uid="{00000000-0010-0000-0400-000014000000}" name="Price_AKRO" dataDxfId="43" dataCellStyle="Currency">
      <calculatedColumnFormula>VLOOKUP(tbl_position[[#This Row],[Date]], tbl_AKRO[], 5, 0)</calculatedColumnFormula>
    </tableColumn>
    <tableColumn id="19" xr3:uid="{00000000-0010-0000-0400-000013000000}" name="Price_FDX" dataDxfId="42" dataCellStyle="Currency">
      <calculatedColumnFormula>VLOOKUP(tbl_position[[#This Row],[Date]], tbl_FDX[], 5, 0)</calculatedColumnFormula>
    </tableColumn>
    <tableColumn id="21" xr3:uid="{00000000-0010-0000-0400-000015000000}" name="Price_NKLA" dataDxfId="41" dataCellStyle="Currency">
      <calculatedColumnFormula>VLOOKUP(tbl_position[[#This Row],[Date]], tbl_NKLA[], 5, 0)</calculatedColumnFormula>
    </tableColumn>
    <tableColumn id="22" xr3:uid="{00000000-0010-0000-0400-000016000000}" name="Price_SPXS" dataDxfId="40" dataCellStyle="Currency">
      <calculatedColumnFormula>VLOOKUP(tbl_position[[#This Row],[Date]], tbl_SPXS[], 5, 0)</calculatedColumnFormula>
    </tableColumn>
    <tableColumn id="17" xr3:uid="{00000000-0010-0000-0400-000011000000}" name="Price_AMD" dataDxfId="39" dataCellStyle="Currency">
      <calculatedColumnFormula>VLOOKUP(tbl_position[[#This Row],[Date]], tbl_AMD[], 5, 0)</calculatedColumnFormula>
    </tableColumn>
    <tableColumn id="28" xr3:uid="{00000000-0010-0000-0400-00001C000000}" name="Price_CVX" dataDxfId="38" dataCellStyle="Currency">
      <calculatedColumnFormula>VLOOKUP(tbl_position[[#This Row],[Date]], tbl_CVX[], 5, 0)</calculatedColumnFormula>
    </tableColumn>
    <tableColumn id="31" xr3:uid="{00000000-0010-0000-0400-00001F000000}" name="Price_QCOM" dataDxfId="37" dataCellStyle="Currency">
      <calculatedColumnFormula>VLOOKUP(tbl_position[[#This Row],[Date]], tbl_QCOM[], 5, 0)</calculatedColumnFormula>
    </tableColumn>
    <tableColumn id="34" xr3:uid="{00000000-0010-0000-0400-000022000000}" name="Price_F" dataDxfId="36" dataCellStyle="Currency">
      <calculatedColumnFormula>VLOOKUP(tbl_position[[#This Row],[Date]], tbl_F[], 5, 0)</calculatedColumnFormula>
    </tableColumn>
    <tableColumn id="30" xr3:uid="{52CAEF03-0BB9-420F-8093-95A1832D0AD4}" name="Price_LTHM" dataDxfId="35" dataCellStyle="Currency">
      <calculatedColumnFormula>VLOOKUP(tbl_position[[#This Row],[Date]], tbl_LTHM[], 5, 0)</calculatedColumnFormula>
    </tableColumn>
    <tableColumn id="37" xr3:uid="{BF46C2C9-6CE5-498A-9629-9B0FC07635F2}" name="Price_RCL" dataDxfId="34" dataCellStyle="Currency">
      <calculatedColumnFormula>VLOOKUP(tbl_position[[#This Row],[Date]], tbl_RCL[], 5, 0)</calculatedColumnFormula>
    </tableColumn>
    <tableColumn id="39" xr3:uid="{296A15B2-C3E8-4EC3-922B-3F3768BCD0BE}" name="Price_OIL" dataDxfId="33" dataCellStyle="Currency">
      <calculatedColumnFormula>VLOOKUP(tbl_position[[#This Row],[Date]], tbl_OIL[], 5, 0)</calculatedColumnFormula>
    </tableColumn>
    <tableColumn id="42" xr3:uid="{9F082D7C-1E42-41B9-9405-F680B3158D3D}" name="Price_VIXY" dataDxfId="32" dataCellStyle="Currency">
      <calculatedColumnFormula>VLOOKUP(tbl_position[[#This Row],[Date]], tbl_VIXY[], 5, 0)</calculatedColumnFormula>
    </tableColumn>
    <tableColumn id="36" xr3:uid="{4494A298-CDC1-4A55-AF2E-D31ECE8D8A33}" name="Price_LLNW" dataDxfId="31" dataCellStyle="Currency">
      <calculatedColumnFormula>VLOOKUP(tbl_position[[#This Row],[Date]], tbl_LLNW[], 5, 0)</calculatedColumnFormula>
    </tableColumn>
    <tableColumn id="44" xr3:uid="{0B21B488-5EB6-4D3F-9D5E-FF5333F5E293}" name="Price_PLL" dataDxfId="30" dataCellStyle="Currency">
      <calculatedColumnFormula>VLOOKUP(tbl_position[[#This Row],[Date]], tbl_PLL[], 5, 0)</calculatedColumnFormula>
    </tableColumn>
    <tableColumn id="47" xr3:uid="{6085EC4E-463D-4C29-9480-FFDBBCE5F0B9}" name="Price_APHA" dataDxfId="29" dataCellStyle="Currency">
      <calculatedColumnFormula>VLOOKUP(tbl_position[[#This Row],[Date]], tbl_APHA[], 5, 0)</calculatedColumnFormula>
    </tableColumn>
    <tableColumn id="49" xr3:uid="{5E783434-2EAA-49AF-A800-E1B9DB2427C2}" name="Price_BEP" dataDxfId="28" dataCellStyle="Currency">
      <calculatedColumnFormula>VLOOKUP(tbl_position[[#This Row],[Date]], tbl_BEP[], 5, 0)</calculatedColumnFormula>
    </tableColumn>
    <tableColumn id="8" xr3:uid="{00000000-0010-0000-0400-000008000000}" name="Shares_AAPL" dataDxfId="27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$X4)</calculatedColumnFormula>
    </tableColumn>
    <tableColumn id="9" xr3:uid="{00000000-0010-0000-0400-000009000000}" name="Shares_RIOT" dataDxfId="26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$Y4)</calculatedColumnFormula>
    </tableColumn>
    <tableColumn id="10" xr3:uid="{00000000-0010-0000-0400-00000A000000}" name="Shares_HD" dataDxfId="25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$Z4)</calculatedColumnFormula>
    </tableColumn>
    <tableColumn id="11" xr3:uid="{00000000-0010-0000-0400-00000B000000}" name="Shares_WMT" dataDxfId="24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$AA4)</calculatedColumnFormula>
    </tableColumn>
    <tableColumn id="12" xr3:uid="{00000000-0010-0000-0400-00000C000000}" name="Shares_IBM" dataDxfId="23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$AB4)</calculatedColumnFormula>
    </tableColumn>
    <tableColumn id="13" xr3:uid="{00000000-0010-0000-0400-00000D000000}" name="Shares_ORCL" dataDxfId="22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$AC4)</calculatedColumnFormula>
    </tableColumn>
    <tableColumn id="26" xr3:uid="{00000000-0010-0000-0400-00001A000000}" name="Shares_AKRO" dataDxfId="21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$AD4)</calculatedColumnFormula>
    </tableColumn>
    <tableColumn id="25" xr3:uid="{00000000-0010-0000-0400-000019000000}" name="Shares_FDX" dataDxfId="20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$AE4)</calculatedColumnFormula>
    </tableColumn>
    <tableColumn id="24" xr3:uid="{00000000-0010-0000-0400-000018000000}" name="Shares_NKLA" dataDxfId="19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$AF4)</calculatedColumnFormula>
    </tableColumn>
    <tableColumn id="23" xr3:uid="{00000000-0010-0000-0400-000017000000}" name="Shares_SPXS" dataDxfId="18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$AG4)</calculatedColumnFormula>
    </tableColumn>
    <tableColumn id="27" xr3:uid="{00000000-0010-0000-0400-00001B000000}" name="Shares_AMD" dataDxfId="17">
      <calculatedColumnFormula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$AH4)</calculatedColumnFormula>
    </tableColumn>
    <tableColumn id="29" xr3:uid="{00000000-0010-0000-0400-00001D000000}" name="Shares_CVX" dataDxfId="16">
      <calculatedColumnFormula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$AI4)</calculatedColumnFormula>
    </tableColumn>
    <tableColumn id="33" xr3:uid="{00000000-0010-0000-0400-000021000000}" name="Shares_QCOM" dataDxfId="15">
      <calculatedColumnFormula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$AJ4)</calculatedColumnFormula>
    </tableColumn>
    <tableColumn id="35" xr3:uid="{00000000-0010-0000-0400-000023000000}" name="Shares_F" dataDxfId="14">
      <calculatedColumnFormula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$AK4)</calculatedColumnFormula>
    </tableColumn>
    <tableColumn id="32" xr3:uid="{E05D05CF-87C3-49C4-AD9E-C82CAF7177D4}" name="Shares_LTHM" dataDxfId="13">
      <calculatedColumnFormula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$AL4)</calculatedColumnFormula>
    </tableColumn>
    <tableColumn id="38" xr3:uid="{8BF3AB67-A198-451E-91F2-9AE1A7108F60}" name="Shares_RCL" dataDxfId="12">
      <calculatedColumnFormula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$AM4)</calculatedColumnFormula>
    </tableColumn>
    <tableColumn id="41" xr3:uid="{86161BD3-3A08-4830-826B-5E97B9C6DF12}" name="Shares_OIL" dataDxfId="11">
      <calculatedColumnFormula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$AN4)</calculatedColumnFormula>
    </tableColumn>
    <tableColumn id="43" xr3:uid="{B7B4C0DD-E665-4DDA-ACE2-0BFFD1817DFF}" name="Shares_VIXY" dataDxfId="10">
      <calculatedColumnFormula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$AO4)</calculatedColumnFormula>
    </tableColumn>
    <tableColumn id="40" xr3:uid="{A3FF245E-6932-4566-9881-872315DE22AF}" name="Shares_LLNW" dataDxfId="9">
      <calculatedColumnFormula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$AP4)</calculatedColumnFormula>
    </tableColumn>
    <tableColumn id="46" xr3:uid="{C53676A6-B0A7-40F3-86B4-86C08635E712}" name="Shares_PLL" dataDxfId="8">
      <calculatedColumnFormula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$AQ4)</calculatedColumnFormula>
    </tableColumn>
    <tableColumn id="48" xr3:uid="{4599BDAD-0BCB-4E6D-B123-7B642746CC10}" name="Shares_APHA" dataDxfId="7">
      <calculatedColumnFormula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$AR4)</calculatedColumnFormula>
    </tableColumn>
    <tableColumn id="50" xr3:uid="{AD3FF9D3-8AA3-4DA1-ABFB-BA78C9181E0F}" name="Shares_BEP" dataDxfId="6">
      <calculatedColumnFormula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$AS4)</calculatedColumnFormula>
    </tableColumn>
    <tableColumn id="14" xr3:uid="{00000000-0010-0000-0400-00000E000000}" name="Shares_Holding" dataCellStyle="Currency">
      <calculatedColumnFormula xml:space="preserve"> SUMPRODUCT(INDIRECT(ADDRESS(ROW(AT5), 2)):INDIRECT(ADDRESS(ROW(AT5), MATCH("Shares_AAPL", pos_header,0)-1)), INDIRECT(ADDRESS(ROW(AT5), MATCH("Shares_AAPL", pos_header,0))): INDIRECT(ADDRESS(ROW(AT5), MATCH("Shares_Holding", pos_header,0)-1)))</calculatedColumnFormula>
    </tableColumn>
    <tableColumn id="15" xr3:uid="{00000000-0010-0000-0400-00000F000000}" name="Cash_Holding" dataDxfId="5" totalsRowDxfId="0" dataCellStyle="Currency">
      <calculatedColumnFormula>SUMIFS(tbl_transaction[Net_Cash_Change], tbl_transaction[Transaction_Date],tbl_position[[#This Row],[Date]])+IF(tbl_position[[#This Row],[Date]]=$A$5, 100000, $AU4)</calculatedColumnFormula>
    </tableColumn>
    <tableColumn id="16" xr3:uid="{00000000-0010-0000-0400-000010000000}" name="Liabilities_Holding" dataDxfId="4">
      <calculatedColumnFormula>SUMIFS(tbl_transaction[Net_Debt_Change], tbl_transaction[Transaction_Date],tbl_position[[#This Row],[Date]])+IF(tbl_position[[#This Row],[Date]]=$A$5, 0, $AV4)</calculatedColumnFormula>
    </tableColumn>
    <tableColumn id="18" xr3:uid="{00000000-0010-0000-0400-000012000000}" name="Total_Net_Asset" dataDxfId="3">
      <calculatedColumnFormula>tbl_position[[#This Row],[Shares_Holding]]+tbl_position[[#This Row],[Cash_Holding]]-tbl_position[[#This Row],[Liabilities_Holding]]</calculatedColumnFormula>
    </tableColumn>
    <tableColumn id="45" xr3:uid="{C1E2136D-9CD2-441C-8F1F-C644880663B0}" name="Net Worth" dataDxfId="2"/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HD" displayName="tbl_HD" ref="A4:S74" totalsRowCount="1">
  <autoFilter ref="A4:S73" xr:uid="{00000000-0009-0000-0100-000005000000}"/>
  <tableColumns count="19">
    <tableColumn id="1" xr3:uid="{00000000-0010-0000-0500-000001000000}" name="Date" totalsRowLabel="Total" dataDxfId="476"/>
    <tableColumn id="2" xr3:uid="{00000000-0010-0000-0500-000002000000}" name="Open" dataDxfId="475"/>
    <tableColumn id="3" xr3:uid="{00000000-0010-0000-0500-000003000000}" name="High" dataDxfId="474"/>
    <tableColumn id="4" xr3:uid="{00000000-0010-0000-0500-000004000000}" name="Low" dataDxfId="473"/>
    <tableColumn id="5" xr3:uid="{00000000-0010-0000-0500-000005000000}" name="Close" dataDxfId="472"/>
    <tableColumn id="6" xr3:uid="{00000000-0010-0000-0500-000006000000}" name="Adj Close" dataDxfId="471"/>
    <tableColumn id="7" xr3:uid="{00000000-0010-0000-0500-000007000000}" name="Volume"/>
    <tableColumn id="8" xr3:uid="{00000000-0010-0000-0500-000008000000}" name="EMA" totalsRowDxfId="470" dataCellStyle="Currency">
      <calculatedColumnFormula>IF(tbl_HD[[#This Row],[Date]]=$A$5, $F5, EMA_Beta*$H4 + (1-EMA_Beta)*$F5)</calculatedColumnFormula>
    </tableColumn>
    <tableColumn id="9" xr3:uid="{00000000-0010-0000-0500-000009000000}" name="RSI" dataDxfId="469">
      <calculatedColumnFormula>IF(tbl_HD[[#This Row],[RS]]= "", "", 100-(100/(1+tbl_HD[[#This Row],[RS]])))</calculatedColumnFormula>
    </tableColumn>
    <tableColumn id="10" xr3:uid="{00000000-0010-0000-0500-00000A000000}" name="BB_Mean" totalsRowDxfId="46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500-00000B000000}" name="BB_Upper" dataDxfId="467" totalsRowDxfId="466" dataCellStyle="Currency">
      <calculatedColumnFormula>IF(tbl_HD[[#This Row],[BB_Mean]]="", "", tbl_HD[[#This Row],[BB_Mean]]+(BB_Width*tbl_HD[[#This Row],[BB_Stdev]]))</calculatedColumnFormula>
    </tableColumn>
    <tableColumn id="12" xr3:uid="{00000000-0010-0000-0500-00000C000000}" name="BB_Lower" dataDxfId="465" totalsRowDxfId="464" dataCellStyle="Currency">
      <calculatedColumnFormula>IF(tbl_HD[[#This Row],[BB_Mean]]="", "", tbl_HD[[#This Row],[BB_Mean]]-(BB_Width*tbl_HD[[#This Row],[BB_Stdev]]))</calculatedColumnFormula>
    </tableColumn>
    <tableColumn id="13" xr3:uid="{00000000-0010-0000-0500-00000D000000}" name="Move" dataDxfId="463">
      <calculatedColumnFormula>IF(ROW(tbl_HD[[#This Row],[Adj Close]])=5, 0, $F5-$F4)</calculatedColumnFormula>
    </tableColumn>
    <tableColumn id="14" xr3:uid="{00000000-0010-0000-0500-00000E000000}" name="Upmove" dataDxfId="462">
      <calculatedColumnFormula>MAX(tbl_HD[[#This Row],[Move]],0)</calculatedColumnFormula>
    </tableColumn>
    <tableColumn id="15" xr3:uid="{00000000-0010-0000-0500-00000F000000}" name="Downmove" dataDxfId="461">
      <calculatedColumnFormula>MAX(-tbl_HD[[#This Row],[Move]],0)</calculatedColumnFormula>
    </tableColumn>
    <tableColumn id="16" xr3:uid="{00000000-0010-0000-0500-000010000000}" name="Avg_Upmove" dataDxfId="46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500-000011000000}" name="Avg_Downmove" dataDxfId="45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500-000012000000}" name="RS" dataDxfId="458">
      <calculatedColumnFormula>IF(tbl_HD[[#This Row],[Avg_Upmove]]="", "", tbl_HD[[#This Row],[Avg_Upmove]]/tbl_HD[[#This Row],[Avg_Downmove]])</calculatedColumnFormula>
    </tableColumn>
    <tableColumn id="19" xr3:uid="{00000000-0010-0000-0500-000013000000}" name="BB_Stdev" totalsRowFunction="count" totalsRowDxfId="45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AAPL" displayName="tbl_AAPL" ref="A4:S74" totalsRowCount="1">
  <autoFilter ref="A4:S73" xr:uid="{00000000-0009-0000-0100-000006000000}"/>
  <tableColumns count="19">
    <tableColumn id="1" xr3:uid="{00000000-0010-0000-0600-000001000000}" name="Date" totalsRowLabel="Total" dataDxfId="456"/>
    <tableColumn id="2" xr3:uid="{00000000-0010-0000-0600-000002000000}" name="Open" totalsRowDxfId="455" dataCellStyle="Currency"/>
    <tableColumn id="3" xr3:uid="{00000000-0010-0000-0600-000003000000}" name="High" totalsRowDxfId="454" dataCellStyle="Currency"/>
    <tableColumn id="4" xr3:uid="{00000000-0010-0000-0600-000004000000}" name="Low" totalsRowDxfId="453" dataCellStyle="Currency"/>
    <tableColumn id="5" xr3:uid="{00000000-0010-0000-0600-000005000000}" name="Close" totalsRowDxfId="452" dataCellStyle="Currency"/>
    <tableColumn id="6" xr3:uid="{00000000-0010-0000-0600-000006000000}" name="Adj Close" totalsRowDxfId="451" dataCellStyle="Currency"/>
    <tableColumn id="7" xr3:uid="{00000000-0010-0000-0600-000007000000}" name="Volume"/>
    <tableColumn id="8" xr3:uid="{00000000-0010-0000-0600-000008000000}" name="EMA" dataDxfId="450" totalsRowDxfId="449" dataCellStyle="Currency">
      <calculatedColumnFormula>IF(tbl_AAPL[[#This Row],[Date]]=$A$5, $F5, EMA_Beta*$H4 + (1-EMA_Beta)*$F5)</calculatedColumnFormula>
    </tableColumn>
    <tableColumn id="9" xr3:uid="{00000000-0010-0000-0600-000009000000}" name="RSI" dataDxfId="448" totalsRowDxfId="447" dataCellStyle="Currency">
      <calculatedColumnFormula>IF(tbl_AAPL[[#This Row],[RS]]= "", "", 100-(100/(1+tbl_AAPL[[#This Row],[RS]])))</calculatedColumnFormula>
    </tableColumn>
    <tableColumn id="10" xr3:uid="{00000000-0010-0000-0600-00000A000000}" name="BB_Mean" dataDxfId="446" totalsRowDxfId="44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600-00000B000000}" name="BB_Upper" dataDxfId="444" totalsRowDxfId="443" dataCellStyle="Currency">
      <calculatedColumnFormula>IF(tbl_AAPL[[#This Row],[BB_Mean]]="", "", tbl_AAPL[[#This Row],[BB_Mean]]+(BB_Width*tbl_AAPL[[#This Row],[BB_Stdev]]))</calculatedColumnFormula>
    </tableColumn>
    <tableColumn id="12" xr3:uid="{00000000-0010-0000-0600-00000C000000}" name="BB_Lower" dataDxfId="442" totalsRowDxfId="441" dataCellStyle="Currency">
      <calculatedColumnFormula>IF(tbl_AAPL[[#This Row],[BB_Mean]]="", "", tbl_AAPL[[#This Row],[BB_Mean]]-(BB_Width*tbl_AAPL[[#This Row],[BB_Stdev]]))</calculatedColumnFormula>
    </tableColumn>
    <tableColumn id="13" xr3:uid="{00000000-0010-0000-0600-00000D000000}" name="Move" dataDxfId="440" totalsRowDxfId="439" dataCellStyle="Currency">
      <calculatedColumnFormula>IF(ROW(tbl_AAPL[[#This Row],[Adj Close]])=5, 0, $F5-$F4)</calculatedColumnFormula>
    </tableColumn>
    <tableColumn id="14" xr3:uid="{00000000-0010-0000-0600-00000E000000}" name="Upmove" dataDxfId="438" totalsRowDxfId="437" dataCellStyle="Currency">
      <calculatedColumnFormula>MAX(tbl_AAPL[[#This Row],[Move]],0)</calculatedColumnFormula>
    </tableColumn>
    <tableColumn id="15" xr3:uid="{00000000-0010-0000-0600-00000F000000}" name="Downmove" dataDxfId="436" totalsRowDxfId="435" dataCellStyle="Currency">
      <calculatedColumnFormula>MAX(-tbl_AAPL[[#This Row],[Move]],0)</calculatedColumnFormula>
    </tableColumn>
    <tableColumn id="16" xr3:uid="{00000000-0010-0000-0600-000010000000}" name="Avg_Upmove" dataDxfId="434" totalsRowDxfId="433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600-000011000000}" name="Avg_Downmove" dataDxfId="432" totalsRowDxfId="431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600-000012000000}" name="RS" dataDxfId="430" totalsRowDxfId="429" dataCellStyle="Currency">
      <calculatedColumnFormula>IF(tbl_AAPL[[#This Row],[Avg_Upmove]]="", "", tbl_AAPL[[#This Row],[Avg_Upmove]]/tbl_AAPL[[#This Row],[Avg_Downmove]])</calculatedColumnFormula>
    </tableColumn>
    <tableColumn id="19" xr3:uid="{00000000-0010-0000-0600-000013000000}" name="BB_Stdev" totalsRowFunction="count" dataDxfId="428" totalsRowDxfId="42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WMT" displayName="tbl_WMT" ref="A4:S74" totalsRowCount="1">
  <autoFilter ref="A4:S73" xr:uid="{00000000-0009-0000-0100-000009000000}"/>
  <tableColumns count="19">
    <tableColumn id="1" xr3:uid="{00000000-0010-0000-0700-000001000000}" name="Date" totalsRowLabel="Total" dataDxfId="426"/>
    <tableColumn id="2" xr3:uid="{00000000-0010-0000-0700-000002000000}" name="Open" dataDxfId="425"/>
    <tableColumn id="3" xr3:uid="{00000000-0010-0000-0700-000003000000}" name="High" dataDxfId="424"/>
    <tableColumn id="4" xr3:uid="{00000000-0010-0000-0700-000004000000}" name="Low" dataDxfId="423"/>
    <tableColumn id="5" xr3:uid="{00000000-0010-0000-0700-000005000000}" name="Close" dataDxfId="422"/>
    <tableColumn id="6" xr3:uid="{00000000-0010-0000-0700-000006000000}" name="Adj Close" dataDxfId="421"/>
    <tableColumn id="7" xr3:uid="{00000000-0010-0000-0700-000007000000}" name="Volume"/>
    <tableColumn id="8" xr3:uid="{00000000-0010-0000-0700-000008000000}" name="EMA" dataDxfId="420">
      <calculatedColumnFormula>IF(tbl_WMT[[#This Row],[Date]]=$A$5, $F5, EMA_Beta*$H4 + (1-EMA_Beta)*$F5)</calculatedColumnFormula>
    </tableColumn>
    <tableColumn id="9" xr3:uid="{00000000-0010-0000-0700-000009000000}" name="RSI" dataDxfId="419" totalsRowDxfId="418" dataCellStyle="Currency">
      <calculatedColumnFormula>IF(tbl_WMT[[#This Row],[RS]]= "", "", 100-(100/(1+tbl_WMT[[#This Row],[RS]])))</calculatedColumnFormula>
    </tableColumn>
    <tableColumn id="10" xr3:uid="{00000000-0010-0000-0700-00000A000000}" name="BB_Mean" dataDxfId="417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700-00000B000000}" name="BB_Upper" dataDxfId="416">
      <calculatedColumnFormula>IF(tbl_WMT[[#This Row],[BB_Mean]]="", "", tbl_WMT[[#This Row],[BB_Mean]]+(BB_Width*tbl_WMT[[#This Row],[BB_Stdev]]))</calculatedColumnFormula>
    </tableColumn>
    <tableColumn id="12" xr3:uid="{00000000-0010-0000-0700-00000C000000}" name="BB_Lower" dataDxfId="415">
      <calculatedColumnFormula>IF(tbl_WMT[[#This Row],[BB_Mean]]="", "", tbl_WMT[[#This Row],[BB_Mean]]-(BB_Width*tbl_WMT[[#This Row],[BB_Stdev]]))</calculatedColumnFormula>
    </tableColumn>
    <tableColumn id="13" xr3:uid="{00000000-0010-0000-0700-00000D000000}" name="Move" dataDxfId="414">
      <calculatedColumnFormula>IF(ROW(tbl_WMT[[#This Row],[Adj Close]])=5, 0, $F5-$F4)</calculatedColumnFormula>
    </tableColumn>
    <tableColumn id="14" xr3:uid="{00000000-0010-0000-0700-00000E000000}" name="Upmove" dataDxfId="413">
      <calculatedColumnFormula>MAX(tbl_WMT[[#This Row],[Move]],0)</calculatedColumnFormula>
    </tableColumn>
    <tableColumn id="15" xr3:uid="{00000000-0010-0000-0700-00000F000000}" name="Downmove" dataDxfId="412">
      <calculatedColumnFormula>MAX(-tbl_WMT[[#This Row],[Move]],0)</calculatedColumnFormula>
    </tableColumn>
    <tableColumn id="16" xr3:uid="{00000000-0010-0000-0700-000010000000}" name="Avg_Upmove" dataDxfId="41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700-000011000000}" name="Avg_Downmove" dataDxfId="41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700-000012000000}" name="RS" dataDxfId="409">
      <calculatedColumnFormula>IF(tbl_WMT[[#This Row],[Avg_Upmove]]="", "", tbl_WMT[[#This Row],[Avg_Upmove]]/tbl_WMT[[#This Row],[Avg_Downmove]])</calculatedColumnFormula>
    </tableColumn>
    <tableColumn id="19" xr3:uid="{00000000-0010-0000-0700-000013000000}" name="BB_Stdev" totalsRowFunction="count" dataDxfId="408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RIOT" displayName="tbl_RIOT" ref="A4:S74" totalsRowCount="1">
  <autoFilter ref="A4:S73" xr:uid="{00000000-0009-0000-0100-00000A000000}"/>
  <tableColumns count="19">
    <tableColumn id="1" xr3:uid="{00000000-0010-0000-0800-000001000000}" name="Date" totalsRowLabel="Total" dataDxfId="407"/>
    <tableColumn id="2" xr3:uid="{00000000-0010-0000-0800-000002000000}" name="Open" dataDxfId="406"/>
    <tableColumn id="3" xr3:uid="{00000000-0010-0000-0800-000003000000}" name="High" dataDxfId="405"/>
    <tableColumn id="4" xr3:uid="{00000000-0010-0000-0800-000004000000}" name="Low" dataDxfId="404"/>
    <tableColumn id="5" xr3:uid="{00000000-0010-0000-0800-000005000000}" name="Close" dataDxfId="403"/>
    <tableColumn id="6" xr3:uid="{00000000-0010-0000-0800-000006000000}" name="Adj Close" dataDxfId="402"/>
    <tableColumn id="7" xr3:uid="{00000000-0010-0000-0800-000007000000}" name="Volume"/>
    <tableColumn id="8" xr3:uid="{00000000-0010-0000-0800-000008000000}" name="EMA" dataDxfId="401">
      <calculatedColumnFormula>IF(tbl_RIOT[[#This Row],[Date]]=$A$5, $F5, EMA_Beta*$H4 + (1-EMA_Beta)*$F5)</calculatedColumnFormula>
    </tableColumn>
    <tableColumn id="9" xr3:uid="{00000000-0010-0000-0800-000009000000}" name="RSI" dataDxfId="400">
      <calculatedColumnFormula>IF(tbl_RIOT[[#This Row],[RS]]= "", "", 100-(100/(1+tbl_RIOT[[#This Row],[RS]])))</calculatedColumnFormula>
    </tableColumn>
    <tableColumn id="10" xr3:uid="{00000000-0010-0000-0800-00000A000000}" name="BB_Mean" dataDxfId="399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800-00000B000000}" name="BB_Upper" dataDxfId="398">
      <calculatedColumnFormula>IF(tbl_RIOT[[#This Row],[BB_Mean]]="", "", tbl_RIOT[[#This Row],[BB_Mean]]+(BB_Width*tbl_RIOT[[#This Row],[BB_Stdev]]))</calculatedColumnFormula>
    </tableColumn>
    <tableColumn id="12" xr3:uid="{00000000-0010-0000-0800-00000C000000}" name="BB_Lower" dataDxfId="397">
      <calculatedColumnFormula>IF(tbl_RIOT[[#This Row],[BB_Mean]]="", "", tbl_RIOT[[#This Row],[BB_Mean]]-(BB_Width*tbl_RIOT[[#This Row],[BB_Stdev]]))</calculatedColumnFormula>
    </tableColumn>
    <tableColumn id="13" xr3:uid="{00000000-0010-0000-0800-00000D000000}" name="Move" dataDxfId="396">
      <calculatedColumnFormula>IF(ROW(tbl_RIOT[[#This Row],[Adj Close]])=5, 0, $F5-$F4)</calculatedColumnFormula>
    </tableColumn>
    <tableColumn id="14" xr3:uid="{00000000-0010-0000-0800-00000E000000}" name="Upmove" dataDxfId="395">
      <calculatedColumnFormula>MAX(tbl_RIOT[[#This Row],[Move]],0)</calculatedColumnFormula>
    </tableColumn>
    <tableColumn id="15" xr3:uid="{00000000-0010-0000-0800-00000F000000}" name="Downmove" dataDxfId="394">
      <calculatedColumnFormula>MAX(-tbl_RIOT[[#This Row],[Move]],0)</calculatedColumnFormula>
    </tableColumn>
    <tableColumn id="16" xr3:uid="{00000000-0010-0000-0800-000010000000}" name="Avg_Upmove" dataDxfId="393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800-000011000000}" name="Avg_Downmove" dataDxfId="392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800-000012000000}" name="RS" dataDxfId="391">
      <calculatedColumnFormula>IF(tbl_RIOT[[#This Row],[Avg_Upmove]]="", "", tbl_RIOT[[#This Row],[Avg_Upmove]]/tbl_RIOT[[#This Row],[Avg_Downmove]])</calculatedColumnFormula>
    </tableColumn>
    <tableColumn id="19" xr3:uid="{00000000-0010-0000-0800-000013000000}" name="BB_Stdev" totalsRowFunction="count" dataDxfId="390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25"/>
  <sheetViews>
    <sheetView workbookViewId="0">
      <selection activeCell="E21" sqref="E21"/>
    </sheetView>
  </sheetViews>
  <sheetFormatPr defaultRowHeight="14.5" x14ac:dyDescent="0.35"/>
  <cols>
    <col min="10" max="10" width="10.81640625" customWidth="1"/>
  </cols>
  <sheetData>
    <row r="1" spans="1:9" ht="23.5" x14ac:dyDescent="0.55000000000000004">
      <c r="B1" s="5" t="s">
        <v>0</v>
      </c>
      <c r="C1" s="5"/>
      <c r="D1" s="5"/>
      <c r="E1" s="5"/>
      <c r="F1" s="6"/>
      <c r="G1" s="6"/>
      <c r="H1" s="6"/>
    </row>
    <row r="3" spans="1:9" ht="15.5" x14ac:dyDescent="0.3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5">
      <c r="B4" t="s">
        <v>3</v>
      </c>
    </row>
    <row r="5" spans="1:9" x14ac:dyDescent="0.35">
      <c r="B5" t="s">
        <v>4</v>
      </c>
    </row>
    <row r="6" spans="1:9" x14ac:dyDescent="0.35">
      <c r="B6" t="s">
        <v>10</v>
      </c>
    </row>
    <row r="8" spans="1:9" ht="15.5" x14ac:dyDescent="0.3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35">
      <c r="B9" t="s">
        <v>7</v>
      </c>
    </row>
    <row r="10" spans="1:9" x14ac:dyDescent="0.35">
      <c r="B10" t="s">
        <v>8</v>
      </c>
    </row>
    <row r="11" spans="1:9" x14ac:dyDescent="0.35">
      <c r="B11" t="s">
        <v>9</v>
      </c>
    </row>
    <row r="13" spans="1:9" ht="15.5" x14ac:dyDescent="0.3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35">
      <c r="B14" t="s">
        <v>13</v>
      </c>
    </row>
    <row r="15" spans="1:9" x14ac:dyDescent="0.35">
      <c r="B15" t="s">
        <v>14</v>
      </c>
    </row>
    <row r="18" spans="1:13" ht="19" thickBot="1" x14ac:dyDescent="0.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" thickBot="1" x14ac:dyDescent="0.4">
      <c r="A19" t="s">
        <v>88</v>
      </c>
      <c r="J19" s="34" t="s">
        <v>104</v>
      </c>
      <c r="K19" s="35" t="s">
        <v>105</v>
      </c>
      <c r="L19" s="35"/>
      <c r="M19" s="36"/>
    </row>
    <row r="20" spans="1:13" ht="15" thickBot="1" x14ac:dyDescent="0.4">
      <c r="A20" t="s">
        <v>89</v>
      </c>
      <c r="J20" s="38" t="s">
        <v>106</v>
      </c>
      <c r="K20" s="39" t="s">
        <v>107</v>
      </c>
      <c r="L20" s="32"/>
      <c r="M20" s="33"/>
    </row>
    <row r="21" spans="1:13" ht="16" thickBot="1" x14ac:dyDescent="0.4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3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3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3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3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3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3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3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3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3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3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3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3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3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3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3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" thickBot="1" x14ac:dyDescent="0.4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" thickBot="1" x14ac:dyDescent="0.4"/>
    <row r="39" spans="1:16" x14ac:dyDescent="0.3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" thickBot="1" x14ac:dyDescent="0.4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" thickBot="1" x14ac:dyDescent="0.4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3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3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3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3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3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" thickBot="1" x14ac:dyDescent="0.4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35">
      <c r="A49" t="s">
        <v>145</v>
      </c>
    </row>
    <row r="50" spans="1:10" ht="15" thickBot="1" x14ac:dyDescent="0.4">
      <c r="A50" t="s">
        <v>128</v>
      </c>
    </row>
    <row r="51" spans="1:10" ht="16" thickBot="1" x14ac:dyDescent="0.4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3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3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3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3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3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3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3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3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3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3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3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" thickBot="1" x14ac:dyDescent="0.4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35">
      <c r="A65" t="s">
        <v>146</v>
      </c>
    </row>
    <row r="66" spans="1:10" x14ac:dyDescent="0.35">
      <c r="A66" t="s">
        <v>147</v>
      </c>
    </row>
    <row r="68" spans="1:10" ht="18.5" x14ac:dyDescent="0.45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5" x14ac:dyDescent="0.45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5" x14ac:dyDescent="0.35">
      <c r="A99" t="s">
        <v>151</v>
      </c>
    </row>
    <row r="100" spans="1:9" x14ac:dyDescent="0.35">
      <c r="A100" t="s">
        <v>154</v>
      </c>
    </row>
    <row r="101" spans="1:9" x14ac:dyDescent="0.35">
      <c r="A101" t="s">
        <v>155</v>
      </c>
    </row>
    <row r="102" spans="1:9" x14ac:dyDescent="0.35">
      <c r="A102" t="s">
        <v>156</v>
      </c>
    </row>
    <row r="103" spans="1:9" ht="15.5" x14ac:dyDescent="0.35">
      <c r="A103" t="s">
        <v>152</v>
      </c>
    </row>
    <row r="104" spans="1:9" x14ac:dyDescent="0.35">
      <c r="A104" t="s">
        <v>157</v>
      </c>
    </row>
    <row r="105" spans="1:9" ht="15.5" x14ac:dyDescent="0.35">
      <c r="A105" t="s">
        <v>153</v>
      </c>
    </row>
    <row r="106" spans="1:9" x14ac:dyDescent="0.35">
      <c r="A106" t="s">
        <v>158</v>
      </c>
    </row>
    <row r="125" spans="2:9" ht="18.5" x14ac:dyDescent="0.45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4"/>
  <sheetViews>
    <sheetView topLeftCell="B63" zoomScale="110" zoomScaleNormal="110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170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125.29</v>
      </c>
      <c r="G5">
        <v>3968300</v>
      </c>
      <c r="H5" s="48">
        <f>IF(tbl_IBM[[#This Row],[Date]]=$A$5, $F5, EMA_Beta*$H4 + (1-EMA_Beta)*$F5)</f>
        <v>125.29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124.94</v>
      </c>
      <c r="G6">
        <v>5001200</v>
      </c>
      <c r="H6" s="48">
        <f>IF(tbl_IBM[[#This Row],[Date]]=$A$5, $F6, EMA_Beta*$H5 + (1-EMA_Beta)*$F6)</f>
        <v>125.25500000000001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-0.35000000000000853</v>
      </c>
      <c r="N6" s="46">
        <f>MAX(tbl_IBM[[#This Row],[Move]],0)</f>
        <v>0</v>
      </c>
      <c r="O6" s="46">
        <f>MAX(-tbl_IBM[[#This Row],[Move]],0)</f>
        <v>0.35000000000000853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124.89</v>
      </c>
      <c r="G7">
        <v>3530200</v>
      </c>
      <c r="H7" s="48">
        <f>IF(tbl_IBM[[#This Row],[Date]]=$A$5, $F7, EMA_Beta*$H6 + (1-EMA_Beta)*$F7)</f>
        <v>125.21850000000001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-4.9999999999997158E-2</v>
      </c>
      <c r="N7" s="46">
        <f>MAX(tbl_IBM[[#This Row],[Move]],0)</f>
        <v>0</v>
      </c>
      <c r="O7" s="46">
        <f>MAX(-tbl_IBM[[#This Row],[Move]],0)</f>
        <v>4.9999999999997158E-2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123.24</v>
      </c>
      <c r="G8">
        <v>3171300</v>
      </c>
      <c r="H8" s="48">
        <f>IF(tbl_IBM[[#This Row],[Date]]=$A$5, $F8, EMA_Beta*$H7 + (1-EMA_Beta)*$F8)</f>
        <v>125.02065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-1.6500000000000057</v>
      </c>
      <c r="N8" s="46">
        <f>MAX(tbl_IBM[[#This Row],[Move]],0)</f>
        <v>0</v>
      </c>
      <c r="O8" s="46">
        <f>MAX(-tbl_IBM[[#This Row],[Move]],0)</f>
        <v>1.6500000000000057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123.48</v>
      </c>
      <c r="G9">
        <v>2963400</v>
      </c>
      <c r="H9" s="48">
        <f>IF(tbl_IBM[[#This Row],[Date]]=$A$5, $F9, EMA_Beta*$H8 + (1-EMA_Beta)*$F9)</f>
        <v>124.866585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0.24000000000000909</v>
      </c>
      <c r="N9" s="46">
        <f>MAX(tbl_IBM[[#This Row],[Move]],0)</f>
        <v>0.24000000000000909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122.66</v>
      </c>
      <c r="G10">
        <v>3360100</v>
      </c>
      <c r="H10" s="48">
        <f>IF(tbl_IBM[[#This Row],[Date]]=$A$5, $F10, EMA_Beta*$H9 + (1-EMA_Beta)*$F10)</f>
        <v>124.64592649999999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-0.82000000000000739</v>
      </c>
      <c r="N10" s="46">
        <f>MAX(tbl_IBM[[#This Row],[Move]],0)</f>
        <v>0</v>
      </c>
      <c r="O10" s="46">
        <f>MAX(-tbl_IBM[[#This Row],[Move]],0)</f>
        <v>0.82000000000000739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123.13</v>
      </c>
      <c r="G11">
        <v>2882400</v>
      </c>
      <c r="H11" s="48">
        <f>IF(tbl_IBM[[#This Row],[Date]]=$A$5, $F11, EMA_Beta*$H10 + (1-EMA_Beta)*$F11)</f>
        <v>124.49433384999999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0.46999999999999886</v>
      </c>
      <c r="N11" s="46">
        <f>MAX(tbl_IBM[[#This Row],[Move]],0)</f>
        <v>0.46999999999999886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122.07</v>
      </c>
      <c r="G12">
        <v>3743900</v>
      </c>
      <c r="H12" s="48">
        <f>IF(tbl_IBM[[#This Row],[Date]]=$A$5, $F12, EMA_Beta*$H11 + (1-EMA_Beta)*$F12)</f>
        <v>124.25190046499999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-1.0600000000000023</v>
      </c>
      <c r="N12" s="46">
        <f>MAX(tbl_IBM[[#This Row],[Move]],0)</f>
        <v>0</v>
      </c>
      <c r="O12" s="46">
        <f>MAX(-tbl_IBM[[#This Row],[Move]],0)</f>
        <v>1.0600000000000023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121.39</v>
      </c>
      <c r="G13">
        <v>2561200</v>
      </c>
      <c r="H13" s="48">
        <f>IF(tbl_IBM[[#This Row],[Date]]=$A$5, $F13, EMA_Beta*$H12 + (1-EMA_Beta)*$F13)</f>
        <v>123.9657104185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-0.67999999999999261</v>
      </c>
      <c r="N13" s="46">
        <f>MAX(tbl_IBM[[#This Row],[Move]],0)</f>
        <v>0</v>
      </c>
      <c r="O13" s="46">
        <f>MAX(-tbl_IBM[[#This Row],[Move]],0)</f>
        <v>0.67999999999999261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121.4</v>
      </c>
      <c r="G14">
        <v>3385100</v>
      </c>
      <c r="H14" s="48">
        <f>IF(tbl_IBM[[#This Row],[Date]]=$A$5, $F14, EMA_Beta*$H13 + (1-EMA_Beta)*$F14)</f>
        <v>123.70913937665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1.0000000000005116E-2</v>
      </c>
      <c r="N14" s="46">
        <f>MAX(tbl_IBM[[#This Row],[Move]],0)</f>
        <v>1.0000000000005116E-2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123.88</v>
      </c>
      <c r="G15">
        <v>4070800</v>
      </c>
      <c r="H15" s="48">
        <f>IF(tbl_IBM[[#This Row],[Date]]=$A$5, $F15, EMA_Beta*$H14 + (1-EMA_Beta)*$F15)</f>
        <v>123.726225438985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2.4799999999999898</v>
      </c>
      <c r="N15" s="46">
        <f>MAX(tbl_IBM[[#This Row],[Move]],0)</f>
        <v>2.4799999999999898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122.86</v>
      </c>
      <c r="G16">
        <v>2977700</v>
      </c>
      <c r="H16" s="48">
        <f>IF(tbl_IBM[[#This Row],[Date]]=$A$5, $F16, EMA_Beta*$H15 + (1-EMA_Beta)*$F16)</f>
        <v>123.6396028950865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-1.019999999999996</v>
      </c>
      <c r="N16" s="46">
        <f>MAX(tbl_IBM[[#This Row],[Move]],0)</f>
        <v>0</v>
      </c>
      <c r="O16" s="46">
        <f>MAX(-tbl_IBM[[#This Row],[Move]],0)</f>
        <v>1.019999999999996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122.4</v>
      </c>
      <c r="G17">
        <v>3388300</v>
      </c>
      <c r="H17" s="48">
        <f>IF(tbl_IBM[[#This Row],[Date]]=$A$5, $F17, EMA_Beta*$H16 + (1-EMA_Beta)*$F17)</f>
        <v>123.51564260557784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-0.45999999999999375</v>
      </c>
      <c r="N17" s="46">
        <f>MAX(tbl_IBM[[#This Row],[Move]],0)</f>
        <v>0</v>
      </c>
      <c r="O17" s="46">
        <f>MAX(-tbl_IBM[[#This Row],[Move]],0)</f>
        <v>0.45999999999999375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122.87</v>
      </c>
      <c r="G18">
        <v>3422700</v>
      </c>
      <c r="H18" s="48">
        <f>IF(tbl_IBM[[#This Row],[Date]]=$A$5, $F18, EMA_Beta*$H17 + (1-EMA_Beta)*$F18)</f>
        <v>123.45107834502005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123.17857142857146</v>
      </c>
      <c r="K18" s="48">
        <f ca="1">IF(tbl_IBM[[#This Row],[BB_Mean]]="", "", tbl_IBM[[#This Row],[BB_Mean]]+(BB_Width*tbl_IBM[[#This Row],[BB_Stdev]]))</f>
        <v>125.64319943474018</v>
      </c>
      <c r="L18" s="48">
        <f ca="1">IF(tbl_IBM[[#This Row],[BB_Mean]]="", "", tbl_IBM[[#This Row],[BB_Mean]]-(BB_Width*tbl_IBM[[#This Row],[BB_Stdev]]))</f>
        <v>120.71394342240274</v>
      </c>
      <c r="M18" s="46">
        <f>IF(ROW(tbl_IBM[[#This Row],[Adj Close]])=5, 0, $F18-$F17)</f>
        <v>0.46999999999999886</v>
      </c>
      <c r="N18" s="46">
        <f>MAX(tbl_IBM[[#This Row],[Move]],0)</f>
        <v>0.46999999999999886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1.2323140030843611</v>
      </c>
    </row>
    <row r="19" spans="1:19" x14ac:dyDescent="0.3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123.28</v>
      </c>
      <c r="G19">
        <v>3099600</v>
      </c>
      <c r="H19" s="48">
        <f>IF(tbl_IBM[[#This Row],[Date]]=$A$5, $F19, EMA_Beta*$H18 + (1-EMA_Beta)*$F19)</f>
        <v>123.43397051051805</v>
      </c>
      <c r="I19" s="46">
        <f ca="1">IF(tbl_IBM[[#This Row],[RS]]= "", "", 100-(100/(1+tbl_IBM[[#This Row],[RS]])))</f>
        <v>40.117994100294965</v>
      </c>
      <c r="J19" s="48">
        <f ca="1">IF(ROW($N19)-4&lt;BB_Periods, "", AVERAGE(INDIRECT(ADDRESS(ROW($F19)-RSI_Periods +1, MATCH("Adj Close", Price_Header,0))): INDIRECT(ADDRESS(ROW($F19),MATCH("Adj Close", Price_Header,0)))))</f>
        <v>123.035</v>
      </c>
      <c r="K19" s="48">
        <f ca="1">IF(tbl_IBM[[#This Row],[BB_Mean]]="", "", tbl_IBM[[#This Row],[BB_Mean]]+(BB_Width*tbl_IBM[[#This Row],[BB_Stdev]]))</f>
        <v>125.18372770942034</v>
      </c>
      <c r="L19" s="48">
        <f ca="1">IF(tbl_IBM[[#This Row],[BB_Mean]]="", "", tbl_IBM[[#This Row],[BB_Mean]]-(BB_Width*tbl_IBM[[#This Row],[BB_Stdev]]))</f>
        <v>120.88627229057965</v>
      </c>
      <c r="M19" s="46">
        <f>IF(ROW(tbl_IBM[[#This Row],[Adj Close]])=5, 0, $F19-$F18)</f>
        <v>0.40999999999999659</v>
      </c>
      <c r="N19" s="46">
        <f>MAX(tbl_IBM[[#This Row],[Move]],0)</f>
        <v>0.40999999999999659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0.29142857142857131</v>
      </c>
      <c r="Q19" s="46">
        <f ca="1">IF(ROW($O19)-5&lt;RSI_Periods, "", AVERAGE(INDIRECT(ADDRESS(ROW($O19)-RSI_Periods +1, MATCH("Downmove", Price_Header,0))): INDIRECT(ADDRESS(ROW($O19),MATCH("Downmove", Price_Header,0)))))</f>
        <v>0.43500000000000022</v>
      </c>
      <c r="R19" s="46">
        <f ca="1">IF(tbl_IBM[[#This Row],[Avg_Upmove]]="", "", tbl_IBM[[#This Row],[Avg_Upmove]]/tbl_IBM[[#This Row],[Avg_Downmove]])</f>
        <v>0.66995073891625556</v>
      </c>
      <c r="S19" s="48">
        <f ca="1">IF(ROW($N19)-4&lt;BB_Periods, "", _xlfn.STDEV.S(INDIRECT(ADDRESS(ROW($F19)-RSI_Periods +1, MATCH("Adj Close", Price_Header,0))): INDIRECT(ADDRESS(ROW($F19),MATCH("Adj Close", Price_Header,0)))))</f>
        <v>1.0743638547101677</v>
      </c>
    </row>
    <row r="20" spans="1:19" x14ac:dyDescent="0.3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121.55</v>
      </c>
      <c r="G20">
        <v>4827900</v>
      </c>
      <c r="H20" s="48">
        <f>IF(tbl_IBM[[#This Row],[Date]]=$A$5, $F20, EMA_Beta*$H19 + (1-EMA_Beta)*$F20)</f>
        <v>123.24557345946624</v>
      </c>
      <c r="I20" s="46">
        <f ca="1">IF(tbl_IBM[[#This Row],[RS]]= "", "", 100-(100/(1+tbl_IBM[[#This Row],[RS]])))</f>
        <v>35.324675324675326</v>
      </c>
      <c r="J20" s="48">
        <f ca="1">IF(ROW($N20)-4&lt;BB_Periods, "", AVERAGE(INDIRECT(ADDRESS(ROW($F20)-RSI_Periods +1, MATCH("Adj Close", Price_Header,0))): INDIRECT(ADDRESS(ROW($F20),MATCH("Adj Close", Price_Header,0)))))</f>
        <v>122.79285714285713</v>
      </c>
      <c r="K20" s="48">
        <f ca="1">IF(tbl_IBM[[#This Row],[BB_Mean]]="", "", tbl_IBM[[#This Row],[BB_Mean]]+(BB_Width*tbl_IBM[[#This Row],[BB_Stdev]]))</f>
        <v>124.77436284185596</v>
      </c>
      <c r="L20" s="48">
        <f ca="1">IF(tbl_IBM[[#This Row],[BB_Mean]]="", "", tbl_IBM[[#This Row],[BB_Mean]]-(BB_Width*tbl_IBM[[#This Row],[BB_Stdev]]))</f>
        <v>120.8113514438583</v>
      </c>
      <c r="M20" s="46">
        <f>IF(ROW(tbl_IBM[[#This Row],[Adj Close]])=5, 0, $F20-$F19)</f>
        <v>-1.730000000000004</v>
      </c>
      <c r="N20" s="46">
        <f>MAX(tbl_IBM[[#This Row],[Move]],0)</f>
        <v>0</v>
      </c>
      <c r="O20" s="46">
        <f>MAX(-tbl_IBM[[#This Row],[Move]],0)</f>
        <v>1.730000000000004</v>
      </c>
      <c r="P20" s="46">
        <f ca="1">IF(ROW($N20)-5&lt;RSI_Periods, "", AVERAGE(INDIRECT(ADDRESS(ROW($N20)-RSI_Periods +1, MATCH("Upmove", Price_Header,0))): INDIRECT(ADDRESS(ROW($N20),MATCH("Upmove", Price_Header,0)))))</f>
        <v>0.29142857142857131</v>
      </c>
      <c r="Q20" s="46">
        <f ca="1">IF(ROW($O20)-5&lt;RSI_Periods, "", AVERAGE(INDIRECT(ADDRESS(ROW($O20)-RSI_Periods +1, MATCH("Downmove", Price_Header,0))): INDIRECT(ADDRESS(ROW($O20),MATCH("Downmove", Price_Header,0)))))</f>
        <v>0.53357142857142847</v>
      </c>
      <c r="R20" s="46">
        <f ca="1">IF(tbl_IBM[[#This Row],[Avg_Upmove]]="", "", tbl_IBM[[#This Row],[Avg_Upmove]]/tbl_IBM[[#This Row],[Avg_Downmove]])</f>
        <v>0.5461847389558232</v>
      </c>
      <c r="S20" s="48">
        <f ca="1">IF(ROW($N20)-4&lt;BB_Periods, "", _xlfn.STDEV.S(INDIRECT(ADDRESS(ROW($F20)-RSI_Periods +1, MATCH("Adj Close", Price_Header,0))): INDIRECT(ADDRESS(ROW($F20),MATCH("Adj Close", Price_Header,0)))))</f>
        <v>0.99075284949941378</v>
      </c>
    </row>
    <row r="21" spans="1:19" x14ac:dyDescent="0.3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121.64</v>
      </c>
      <c r="G21">
        <v>3155300</v>
      </c>
      <c r="H21" s="48">
        <f>IF(tbl_IBM[[#This Row],[Date]]=$A$5, $F21, EMA_Beta*$H20 + (1-EMA_Beta)*$F21)</f>
        <v>123.08501611351963</v>
      </c>
      <c r="I21" s="46">
        <f ca="1">IF(tbl_IBM[[#This Row],[RS]]= "", "", 100-(100/(1+tbl_IBM[[#This Row],[RS]])))</f>
        <v>35.979292493528902</v>
      </c>
      <c r="J21" s="48">
        <f ca="1">IF(ROW($N21)-4&lt;BB_Periods, "", AVERAGE(INDIRECT(ADDRESS(ROW($F21)-RSI_Periods +1, MATCH("Adj Close", Price_Header,0))): INDIRECT(ADDRESS(ROW($F21),MATCH("Adj Close", Price_Header,0)))))</f>
        <v>122.5607142857143</v>
      </c>
      <c r="K21" s="48">
        <f ca="1">IF(tbl_IBM[[#This Row],[BB_Mean]]="", "", tbl_IBM[[#This Row],[BB_Mean]]+(BB_Width*tbl_IBM[[#This Row],[BB_Stdev]]))</f>
        <v>124.21900746357407</v>
      </c>
      <c r="L21" s="48">
        <f ca="1">IF(tbl_IBM[[#This Row],[BB_Mean]]="", "", tbl_IBM[[#This Row],[BB_Mean]]-(BB_Width*tbl_IBM[[#This Row],[BB_Stdev]]))</f>
        <v>120.90242110785452</v>
      </c>
      <c r="M21" s="46">
        <f>IF(ROW(tbl_IBM[[#This Row],[Adj Close]])=5, 0, $F21-$F20)</f>
        <v>9.0000000000003411E-2</v>
      </c>
      <c r="N21" s="46">
        <f>MAX(tbl_IBM[[#This Row],[Move]],0)</f>
        <v>9.0000000000003411E-2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0.29785714285714299</v>
      </c>
      <c r="Q21" s="46">
        <f ca="1">IF(ROW($O21)-5&lt;RSI_Periods, "", AVERAGE(INDIRECT(ADDRESS(ROW($O21)-RSI_Periods +1, MATCH("Downmove", Price_Header,0))): INDIRECT(ADDRESS(ROW($O21),MATCH("Downmove", Price_Header,0)))))</f>
        <v>0.53000000000000014</v>
      </c>
      <c r="R21" s="46">
        <f ca="1">IF(tbl_IBM[[#This Row],[Avg_Upmove]]="", "", tbl_IBM[[#This Row],[Avg_Upmove]]/tbl_IBM[[#This Row],[Avg_Downmove]])</f>
        <v>0.56199460916442057</v>
      </c>
      <c r="S21" s="48">
        <f ca="1">IF(ROW($N21)-4&lt;BB_Periods, "", _xlfn.STDEV.S(INDIRECT(ADDRESS(ROW($F21)-RSI_Periods +1, MATCH("Adj Close", Price_Header,0))): INDIRECT(ADDRESS(ROW($F21),MATCH("Adj Close", Price_Header,0)))))</f>
        <v>0.82914658892988558</v>
      </c>
    </row>
    <row r="22" spans="1:19" x14ac:dyDescent="0.3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126.35</v>
      </c>
      <c r="G22">
        <v>6592400</v>
      </c>
      <c r="H22" s="48">
        <f>IF(tbl_IBM[[#This Row],[Date]]=$A$5, $F22, EMA_Beta*$H21 + (1-EMA_Beta)*$F22)</f>
        <v>123.41151450216766</v>
      </c>
      <c r="I22" s="46">
        <f ca="1">IF(tbl_IBM[[#This Row],[RS]]= "", "", 100-(100/(1+tbl_IBM[[#This Row],[RS]])))</f>
        <v>60.614334470989768</v>
      </c>
      <c r="J22" s="48">
        <f ca="1">IF(ROW($N22)-4&lt;BB_Periods, "", AVERAGE(INDIRECT(ADDRESS(ROW($F22)-RSI_Periods +1, MATCH("Adj Close", Price_Header,0))): INDIRECT(ADDRESS(ROW($F22),MATCH("Adj Close", Price_Header,0)))))</f>
        <v>122.78285714285713</v>
      </c>
      <c r="K22" s="48">
        <f ca="1">IF(tbl_IBM[[#This Row],[BB_Mean]]="", "", tbl_IBM[[#This Row],[BB_Mean]]+(BB_Width*tbl_IBM[[#This Row],[BB_Stdev]]))</f>
        <v>125.39311417200996</v>
      </c>
      <c r="L22" s="48">
        <f ca="1">IF(tbl_IBM[[#This Row],[BB_Mean]]="", "", tbl_IBM[[#This Row],[BB_Mean]]-(BB_Width*tbl_IBM[[#This Row],[BB_Stdev]]))</f>
        <v>120.17260011370429</v>
      </c>
      <c r="M22" s="46">
        <f>IF(ROW(tbl_IBM[[#This Row],[Adj Close]])=5, 0, $F22-$F21)</f>
        <v>4.7099999999999937</v>
      </c>
      <c r="N22" s="46">
        <f>MAX(tbl_IBM[[#This Row],[Move]],0)</f>
        <v>4.7099999999999937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0.63428571428571401</v>
      </c>
      <c r="Q22" s="46">
        <f ca="1">IF(ROW($O22)-5&lt;RSI_Periods, "", AVERAGE(INDIRECT(ADDRESS(ROW($O22)-RSI_Periods +1, MATCH("Downmove", Price_Header,0))): INDIRECT(ADDRESS(ROW($O22),MATCH("Downmove", Price_Header,0)))))</f>
        <v>0.41214285714285687</v>
      </c>
      <c r="R22" s="46">
        <f ca="1">IF(tbl_IBM[[#This Row],[Avg_Upmove]]="", "", tbl_IBM[[#This Row],[Avg_Upmove]]/tbl_IBM[[#This Row],[Avg_Downmove]])</f>
        <v>1.5389948006932412</v>
      </c>
      <c r="S22" s="48">
        <f ca="1">IF(ROW($N22)-4&lt;BB_Periods, "", _xlfn.STDEV.S(INDIRECT(ADDRESS(ROW($F22)-RSI_Periods +1, MATCH("Adj Close", Price_Header,0))): INDIRECT(ADDRESS(ROW($F22),MATCH("Adj Close", Price_Header,0)))))</f>
        <v>1.3051285145764135</v>
      </c>
    </row>
    <row r="23" spans="1:19" x14ac:dyDescent="0.3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122.67</v>
      </c>
      <c r="G23">
        <v>5716800</v>
      </c>
      <c r="H23" s="48">
        <f>IF(tbl_IBM[[#This Row],[Date]]=$A$5, $F23, EMA_Beta*$H22 + (1-EMA_Beta)*$F23)</f>
        <v>123.33736305195089</v>
      </c>
      <c r="I23" s="46">
        <f ca="1">IF(tbl_IBM[[#This Row],[RS]]= "", "", 100-(100/(1+tbl_IBM[[#This Row],[RS]])))</f>
        <v>47.761194029850742</v>
      </c>
      <c r="J23" s="48">
        <f ca="1">IF(ROW($N23)-4&lt;BB_Periods, "", AVERAGE(INDIRECT(ADDRESS(ROW($F23)-RSI_Periods +1, MATCH("Adj Close", Price_Header,0))): INDIRECT(ADDRESS(ROW($F23),MATCH("Adj Close", Price_Header,0)))))</f>
        <v>122.72499999999999</v>
      </c>
      <c r="K23" s="48">
        <f ca="1">IF(tbl_IBM[[#This Row],[BB_Mean]]="", "", tbl_IBM[[#This Row],[BB_Mean]]+(BB_Width*tbl_IBM[[#This Row],[BB_Stdev]]))</f>
        <v>125.30441853912853</v>
      </c>
      <c r="L23" s="48">
        <f ca="1">IF(tbl_IBM[[#This Row],[BB_Mean]]="", "", tbl_IBM[[#This Row],[BB_Mean]]-(BB_Width*tbl_IBM[[#This Row],[BB_Stdev]]))</f>
        <v>120.14558146087145</v>
      </c>
      <c r="M23" s="46">
        <f>IF(ROW(tbl_IBM[[#This Row],[Adj Close]])=5, 0, $F23-$F22)</f>
        <v>-3.6799999999999926</v>
      </c>
      <c r="N23" s="46">
        <f>MAX(tbl_IBM[[#This Row],[Move]],0)</f>
        <v>0</v>
      </c>
      <c r="O23" s="46">
        <f>MAX(-tbl_IBM[[#This Row],[Move]],0)</f>
        <v>3.6799999999999926</v>
      </c>
      <c r="P23" s="46">
        <f ca="1">IF(ROW($N23)-5&lt;RSI_Periods, "", AVERAGE(INDIRECT(ADDRESS(ROW($N23)-RSI_Periods +1, MATCH("Upmove", Price_Header,0))): INDIRECT(ADDRESS(ROW($N23),MATCH("Upmove", Price_Header,0)))))</f>
        <v>0.61714285714285622</v>
      </c>
      <c r="Q23" s="46">
        <f ca="1">IF(ROW($O23)-5&lt;RSI_Periods, "", AVERAGE(INDIRECT(ADDRESS(ROW($O23)-RSI_Periods +1, MATCH("Downmove", Price_Header,0))): INDIRECT(ADDRESS(ROW($O23),MATCH("Downmove", Price_Header,0)))))</f>
        <v>0.67499999999999916</v>
      </c>
      <c r="R23" s="46">
        <f ca="1">IF(tbl_IBM[[#This Row],[Avg_Upmove]]="", "", tbl_IBM[[#This Row],[Avg_Upmove]]/tbl_IBM[[#This Row],[Avg_Downmove]])</f>
        <v>0.91428571428571404</v>
      </c>
      <c r="S23" s="48">
        <f ca="1">IF(ROW($N23)-4&lt;BB_Periods, "", _xlfn.STDEV.S(INDIRECT(ADDRESS(ROW($F23)-RSI_Periods +1, MATCH("Adj Close", Price_Header,0))): INDIRECT(ADDRESS(ROW($F23),MATCH("Adj Close", Price_Header,0)))))</f>
        <v>1.2897092695642671</v>
      </c>
    </row>
    <row r="24" spans="1:19" x14ac:dyDescent="0.3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120.55</v>
      </c>
      <c r="G24">
        <v>6018200</v>
      </c>
      <c r="H24" s="48">
        <f>IF(tbl_IBM[[#This Row],[Date]]=$A$5, $F24, EMA_Beta*$H23 + (1-EMA_Beta)*$F24)</f>
        <v>123.05862674675579</v>
      </c>
      <c r="I24" s="46">
        <f ca="1">IF(tbl_IBM[[#This Row],[RS]]= "", "", 100-(100/(1+tbl_IBM[[#This Row],[RS]])))</f>
        <v>44.559051057246002</v>
      </c>
      <c r="J24" s="48">
        <f ca="1">IF(ROW($N24)-4&lt;BB_Periods, "", AVERAGE(INDIRECT(ADDRESS(ROW($F24)-RSI_Periods +1, MATCH("Adj Close", Price_Header,0))): INDIRECT(ADDRESS(ROW($F24),MATCH("Adj Close", Price_Header,0)))))</f>
        <v>122.57428571428571</v>
      </c>
      <c r="K24" s="48">
        <f ca="1">IF(tbl_IBM[[#This Row],[BB_Mean]]="", "", tbl_IBM[[#This Row],[BB_Mean]]+(BB_Width*tbl_IBM[[#This Row],[BB_Stdev]]))</f>
        <v>125.40444976808693</v>
      </c>
      <c r="L24" s="48">
        <f ca="1">IF(tbl_IBM[[#This Row],[BB_Mean]]="", "", tbl_IBM[[#This Row],[BB_Mean]]-(BB_Width*tbl_IBM[[#This Row],[BB_Stdev]]))</f>
        <v>119.74412166048448</v>
      </c>
      <c r="M24" s="46">
        <f>IF(ROW(tbl_IBM[[#This Row],[Adj Close]])=5, 0, $F24-$F23)</f>
        <v>-2.1200000000000045</v>
      </c>
      <c r="N24" s="46">
        <f>MAX(tbl_IBM[[#This Row],[Move]],0)</f>
        <v>0</v>
      </c>
      <c r="O24" s="46">
        <f>MAX(-tbl_IBM[[#This Row],[Move]],0)</f>
        <v>2.1200000000000045</v>
      </c>
      <c r="P24" s="46">
        <f ca="1">IF(ROW($N24)-5&lt;RSI_Periods, "", AVERAGE(INDIRECT(ADDRESS(ROW($N24)-RSI_Periods +1, MATCH("Upmove", Price_Header,0))): INDIRECT(ADDRESS(ROW($N24),MATCH("Upmove", Price_Header,0)))))</f>
        <v>0.61714285714285622</v>
      </c>
      <c r="Q24" s="46">
        <f ca="1">IF(ROW($O24)-5&lt;RSI_Periods, "", AVERAGE(INDIRECT(ADDRESS(ROW($O24)-RSI_Periods +1, MATCH("Downmove", Price_Header,0))): INDIRECT(ADDRESS(ROW($O24),MATCH("Downmove", Price_Header,0)))))</f>
        <v>0.76785714285714179</v>
      </c>
      <c r="R24" s="46">
        <f ca="1">IF(tbl_IBM[[#This Row],[Avg_Upmove]]="", "", tbl_IBM[[#This Row],[Avg_Upmove]]/tbl_IBM[[#This Row],[Avg_Downmove]])</f>
        <v>0.80372093023255808</v>
      </c>
      <c r="S24" s="48">
        <f ca="1">IF(ROW($N24)-4&lt;BB_Periods, "", _xlfn.STDEV.S(INDIRECT(ADDRESS(ROW($F24)-RSI_Periods +1, MATCH("Adj Close", Price_Header,0))): INDIRECT(ADDRESS(ROW($F24),MATCH("Adj Close", Price_Header,0)))))</f>
        <v>1.4150820269006101</v>
      </c>
    </row>
    <row r="25" spans="1:19" x14ac:dyDescent="0.3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119.48</v>
      </c>
      <c r="G25">
        <v>5210300</v>
      </c>
      <c r="H25" s="48">
        <f>IF(tbl_IBM[[#This Row],[Date]]=$A$5, $F25, EMA_Beta*$H24 + (1-EMA_Beta)*$F25)</f>
        <v>122.7007640720802</v>
      </c>
      <c r="I25" s="46">
        <f ca="1">IF(tbl_IBM[[#This Row],[RS]]= "", "", 100-(100/(1+tbl_IBM[[#This Row],[RS]])))</f>
        <v>40.870435217608808</v>
      </c>
      <c r="J25" s="48">
        <f ca="1">IF(ROW($N25)-4&lt;BB_Periods, "", AVERAGE(INDIRECT(ADDRESS(ROW($F25)-RSI_Periods +1, MATCH("Adj Close", Price_Header,0))): INDIRECT(ADDRESS(ROW($F25),MATCH("Adj Close", Price_Header,0)))))</f>
        <v>122.31357142857144</v>
      </c>
      <c r="K25" s="48">
        <f ca="1">IF(tbl_IBM[[#This Row],[BB_Mean]]="", "", tbl_IBM[[#This Row],[BB_Mean]]+(BB_Width*tbl_IBM[[#This Row],[BB_Stdev]]))</f>
        <v>125.56442321889307</v>
      </c>
      <c r="L25" s="48">
        <f ca="1">IF(tbl_IBM[[#This Row],[BB_Mean]]="", "", tbl_IBM[[#This Row],[BB_Mean]]-(BB_Width*tbl_IBM[[#This Row],[BB_Stdev]]))</f>
        <v>119.0627196382498</v>
      </c>
      <c r="M25" s="46">
        <f>IF(ROW(tbl_IBM[[#This Row],[Adj Close]])=5, 0, $F25-$F24)</f>
        <v>-1.0699999999999932</v>
      </c>
      <c r="N25" s="46">
        <f>MAX(tbl_IBM[[#This Row],[Move]],0)</f>
        <v>0</v>
      </c>
      <c r="O25" s="46">
        <f>MAX(-tbl_IBM[[#This Row],[Move]],0)</f>
        <v>1.0699999999999932</v>
      </c>
      <c r="P25" s="46">
        <f ca="1">IF(ROW($N25)-5&lt;RSI_Periods, "", AVERAGE(INDIRECT(ADDRESS(ROW($N25)-RSI_Periods +1, MATCH("Upmove", Price_Header,0))): INDIRECT(ADDRESS(ROW($N25),MATCH("Upmove", Price_Header,0)))))</f>
        <v>0.58357142857142763</v>
      </c>
      <c r="Q25" s="46">
        <f ca="1">IF(ROW($O25)-5&lt;RSI_Periods, "", AVERAGE(INDIRECT(ADDRESS(ROW($O25)-RSI_Periods +1, MATCH("Downmove", Price_Header,0))): INDIRECT(ADDRESS(ROW($O25),MATCH("Downmove", Price_Header,0)))))</f>
        <v>0.84428571428571275</v>
      </c>
      <c r="R25" s="46">
        <f ca="1">IF(tbl_IBM[[#This Row],[Avg_Upmove]]="", "", tbl_IBM[[#This Row],[Avg_Upmove]]/tbl_IBM[[#This Row],[Avg_Downmove]])</f>
        <v>0.69120135363790203</v>
      </c>
      <c r="S25" s="48">
        <f ca="1">IF(ROW($N25)-4&lt;BB_Periods, "", _xlfn.STDEV.S(INDIRECT(ADDRESS(ROW($F25)-RSI_Periods +1, MATCH("Adj Close", Price_Header,0))): INDIRECT(ADDRESS(ROW($F25),MATCH("Adj Close", Price_Header,0)))))</f>
        <v>1.6254258951608147</v>
      </c>
    </row>
    <row r="26" spans="1:19" x14ac:dyDescent="0.3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120.51</v>
      </c>
      <c r="G26">
        <v>3770700</v>
      </c>
      <c r="H26" s="48">
        <f>IF(tbl_IBM[[#This Row],[Date]]=$A$5, $F26, EMA_Beta*$H25 + (1-EMA_Beta)*$F26)</f>
        <v>122.48168766487218</v>
      </c>
      <c r="I26" s="46">
        <f ca="1">IF(tbl_IBM[[#This Row],[RS]]= "", "", 100-(100/(1+tbl_IBM[[#This Row],[RS]])))</f>
        <v>46.092184368737499</v>
      </c>
      <c r="J26" s="48">
        <f ca="1">IF(ROW($N26)-4&lt;BB_Periods, "", AVERAGE(INDIRECT(ADDRESS(ROW($F26)-RSI_Periods +1, MATCH("Adj Close", Price_Header,0))): INDIRECT(ADDRESS(ROW($F26),MATCH("Adj Close", Price_Header,0)))))</f>
        <v>122.20214285714285</v>
      </c>
      <c r="K26" s="48">
        <f ca="1">IF(tbl_IBM[[#This Row],[BB_Mean]]="", "", tbl_IBM[[#This Row],[BB_Mean]]+(BB_Width*tbl_IBM[[#This Row],[BB_Stdev]]))</f>
        <v>125.59289206930528</v>
      </c>
      <c r="L26" s="48">
        <f ca="1">IF(tbl_IBM[[#This Row],[BB_Mean]]="", "", tbl_IBM[[#This Row],[BB_Mean]]-(BB_Width*tbl_IBM[[#This Row],[BB_Stdev]]))</f>
        <v>118.81139364498041</v>
      </c>
      <c r="M26" s="46">
        <f>IF(ROW(tbl_IBM[[#This Row],[Adj Close]])=5, 0, $F26-$F25)</f>
        <v>1.0300000000000011</v>
      </c>
      <c r="N26" s="46">
        <f>MAX(tbl_IBM[[#This Row],[Move]],0)</f>
        <v>1.0300000000000011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0.65714285714285636</v>
      </c>
      <c r="Q26" s="46">
        <f ca="1">IF(ROW($O26)-5&lt;RSI_Periods, "", AVERAGE(INDIRECT(ADDRESS(ROW($O26)-RSI_Periods +1, MATCH("Downmove", Price_Header,0))): INDIRECT(ADDRESS(ROW($O26),MATCH("Downmove", Price_Header,0)))))</f>
        <v>0.76857142857142691</v>
      </c>
      <c r="R26" s="46">
        <f ca="1">IF(tbl_IBM[[#This Row],[Avg_Upmove]]="", "", tbl_IBM[[#This Row],[Avg_Upmove]]/tbl_IBM[[#This Row],[Avg_Downmove]])</f>
        <v>0.85501858736059566</v>
      </c>
      <c r="S26" s="48">
        <f ca="1">IF(ROW($N26)-4&lt;BB_Periods, "", _xlfn.STDEV.S(INDIRECT(ADDRESS(ROW($F26)-RSI_Periods +1, MATCH("Adj Close", Price_Header,0))): INDIRECT(ADDRESS(ROW($F26),MATCH("Adj Close", Price_Header,0)))))</f>
        <v>1.6953746060812189</v>
      </c>
    </row>
    <row r="27" spans="1:19" x14ac:dyDescent="0.3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118.84</v>
      </c>
      <c r="G27">
        <v>3978400</v>
      </c>
      <c r="H27" s="48">
        <f>IF(tbl_IBM[[#This Row],[Date]]=$A$5, $F27, EMA_Beta*$H26 + (1-EMA_Beta)*$F27)</f>
        <v>122.11751889838497</v>
      </c>
      <c r="I27" s="46">
        <f ca="1">IF(tbl_IBM[[#This Row],[RS]]= "", "", 100-(100/(1+tbl_IBM[[#This Row],[RS]])))</f>
        <v>43.914081145584724</v>
      </c>
      <c r="J27" s="48">
        <f ca="1">IF(ROW($N27)-4&lt;BB_Periods, "", AVERAGE(INDIRECT(ADDRESS(ROW($F27)-RSI_Periods +1, MATCH("Adj Close", Price_Header,0))): INDIRECT(ADDRESS(ROW($F27),MATCH("Adj Close", Price_Header,0)))))</f>
        <v>122.01999999999998</v>
      </c>
      <c r="K27" s="48">
        <f ca="1">IF(tbl_IBM[[#This Row],[BB_Mean]]="", "", tbl_IBM[[#This Row],[BB_Mean]]+(BB_Width*tbl_IBM[[#This Row],[BB_Stdev]]))</f>
        <v>125.84484992164094</v>
      </c>
      <c r="L27" s="48">
        <f ca="1">IF(tbl_IBM[[#This Row],[BB_Mean]]="", "", tbl_IBM[[#This Row],[BB_Mean]]-(BB_Width*tbl_IBM[[#This Row],[BB_Stdev]]))</f>
        <v>118.19515007835902</v>
      </c>
      <c r="M27" s="46">
        <f>IF(ROW(tbl_IBM[[#This Row],[Adj Close]])=5, 0, $F27-$F26)</f>
        <v>-1.6700000000000017</v>
      </c>
      <c r="N27" s="46">
        <f>MAX(tbl_IBM[[#This Row],[Move]],0)</f>
        <v>0</v>
      </c>
      <c r="O27" s="46">
        <f>MAX(-tbl_IBM[[#This Row],[Move]],0)</f>
        <v>1.6700000000000017</v>
      </c>
      <c r="P27" s="46">
        <f ca="1">IF(ROW($N27)-5&lt;RSI_Periods, "", AVERAGE(INDIRECT(ADDRESS(ROW($N27)-RSI_Periods +1, MATCH("Upmove", Price_Header,0))): INDIRECT(ADDRESS(ROW($N27),MATCH("Upmove", Price_Header,0)))))</f>
        <v>0.65714285714285636</v>
      </c>
      <c r="Q27" s="46">
        <f ca="1">IF(ROW($O27)-5&lt;RSI_Periods, "", AVERAGE(INDIRECT(ADDRESS(ROW($O27)-RSI_Periods +1, MATCH("Downmove", Price_Header,0))): INDIRECT(ADDRESS(ROW($O27),MATCH("Downmove", Price_Header,0)))))</f>
        <v>0.8392857142857133</v>
      </c>
      <c r="R27" s="46">
        <f ca="1">IF(tbl_IBM[[#This Row],[Avg_Upmove]]="", "", tbl_IBM[[#This Row],[Avg_Upmove]]/tbl_IBM[[#This Row],[Avg_Downmove]])</f>
        <v>0.78297872340425534</v>
      </c>
      <c r="S27" s="48">
        <f ca="1">IF(ROW($N27)-4&lt;BB_Periods, "", _xlfn.STDEV.S(INDIRECT(ADDRESS(ROW($F27)-RSI_Periods +1, MATCH("Adj Close", Price_Header,0))): INDIRECT(ADDRESS(ROW($F27),MATCH("Adj Close", Price_Header,0)))))</f>
        <v>1.912424960820482</v>
      </c>
    </row>
    <row r="28" spans="1:19" x14ac:dyDescent="0.3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119.72</v>
      </c>
      <c r="G28">
        <v>3547400</v>
      </c>
      <c r="H28" s="48">
        <f>IF(tbl_IBM[[#This Row],[Date]]=$A$5, $F28, EMA_Beta*$H27 + (1-EMA_Beta)*$F28)</f>
        <v>121.87776700854647</v>
      </c>
      <c r="I28" s="46">
        <f ca="1">IF(tbl_IBM[[#This Row],[RS]]= "", "", 100-(100/(1+tbl_IBM[[#This Row],[RS]])))</f>
        <v>46.150320806599424</v>
      </c>
      <c r="J28" s="48">
        <f ca="1">IF(ROW($N28)-4&lt;BB_Periods, "", AVERAGE(INDIRECT(ADDRESS(ROW($F28)-RSI_Periods +1, MATCH("Adj Close", Price_Header,0))): INDIRECT(ADDRESS(ROW($F28),MATCH("Adj Close", Price_Header,0)))))</f>
        <v>121.89999999999999</v>
      </c>
      <c r="K28" s="48">
        <f ca="1">IF(tbl_IBM[[#This Row],[BB_Mean]]="", "", tbl_IBM[[#This Row],[BB_Mean]]+(BB_Width*tbl_IBM[[#This Row],[BB_Stdev]]))</f>
        <v>125.90959618147033</v>
      </c>
      <c r="L28" s="48">
        <f ca="1">IF(tbl_IBM[[#This Row],[BB_Mean]]="", "", tbl_IBM[[#This Row],[BB_Mean]]-(BB_Width*tbl_IBM[[#This Row],[BB_Stdev]]))</f>
        <v>117.89040381852965</v>
      </c>
      <c r="M28" s="46">
        <f>IF(ROW(tbl_IBM[[#This Row],[Adj Close]])=5, 0, $F28-$F27)</f>
        <v>0.87999999999999545</v>
      </c>
      <c r="N28" s="46">
        <f>MAX(tbl_IBM[[#This Row],[Move]],0)</f>
        <v>0.87999999999999545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0.71928571428571275</v>
      </c>
      <c r="Q28" s="46">
        <f ca="1">IF(ROW($O28)-5&lt;RSI_Periods, "", AVERAGE(INDIRECT(ADDRESS(ROW($O28)-RSI_Periods +1, MATCH("Downmove", Price_Header,0))): INDIRECT(ADDRESS(ROW($O28),MATCH("Downmove", Price_Header,0)))))</f>
        <v>0.8392857142857133</v>
      </c>
      <c r="R28" s="46">
        <f ca="1">IF(tbl_IBM[[#This Row],[Avg_Upmove]]="", "", tbl_IBM[[#This Row],[Avg_Upmove]]/tbl_IBM[[#This Row],[Avg_Downmove]])</f>
        <v>0.8570212765957439</v>
      </c>
      <c r="S28" s="48">
        <f ca="1">IF(ROW($N28)-4&lt;BB_Periods, "", _xlfn.STDEV.S(INDIRECT(ADDRESS(ROW($F28)-RSI_Periods +1, MATCH("Adj Close", Price_Header,0))): INDIRECT(ADDRESS(ROW($F28),MATCH("Adj Close", Price_Header,0)))))</f>
        <v>2.0047980907351688</v>
      </c>
    </row>
    <row r="29" spans="1:19" x14ac:dyDescent="0.3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120.34</v>
      </c>
      <c r="G29">
        <v>3641500</v>
      </c>
      <c r="H29" s="48">
        <f>IF(tbl_IBM[[#This Row],[Date]]=$A$5, $F29, EMA_Beta*$H28 + (1-EMA_Beta)*$F29)</f>
        <v>121.72399030769182</v>
      </c>
      <c r="I29" s="46">
        <f ca="1">IF(tbl_IBM[[#This Row],[RS]]= "", "", 100-(100/(1+tbl_IBM[[#This Row],[RS]])))</f>
        <v>41.132264529058126</v>
      </c>
      <c r="J29" s="48">
        <f ca="1">IF(ROW($N29)-4&lt;BB_Periods, "", AVERAGE(INDIRECT(ADDRESS(ROW($F29)-RSI_Periods +1, MATCH("Adj Close", Price_Header,0))): INDIRECT(ADDRESS(ROW($F29),MATCH("Adj Close", Price_Header,0)))))</f>
        <v>121.64714285714284</v>
      </c>
      <c r="K29" s="48">
        <f ca="1">IF(tbl_IBM[[#This Row],[BB_Mean]]="", "", tbl_IBM[[#This Row],[BB_Mean]]+(BB_Width*tbl_IBM[[#This Row],[BB_Stdev]]))</f>
        <v>125.56428018370733</v>
      </c>
      <c r="L29" s="48">
        <f ca="1">IF(tbl_IBM[[#This Row],[BB_Mean]]="", "", tbl_IBM[[#This Row],[BB_Mean]]-(BB_Width*tbl_IBM[[#This Row],[BB_Stdev]]))</f>
        <v>117.73000553057835</v>
      </c>
      <c r="M29" s="46">
        <f>IF(ROW(tbl_IBM[[#This Row],[Adj Close]])=5, 0, $F29-$F28)</f>
        <v>0.62000000000000455</v>
      </c>
      <c r="N29" s="46">
        <f>MAX(tbl_IBM[[#This Row],[Move]],0)</f>
        <v>0.62000000000000455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0.58642857142857097</v>
      </c>
      <c r="Q29" s="46">
        <f ca="1">IF(ROW($O29)-5&lt;RSI_Periods, "", AVERAGE(INDIRECT(ADDRESS(ROW($O29)-RSI_Periods +1, MATCH("Downmove", Price_Header,0))): INDIRECT(ADDRESS(ROW($O29),MATCH("Downmove", Price_Header,0)))))</f>
        <v>0.8392857142857133</v>
      </c>
      <c r="R29" s="46">
        <f ca="1">IF(tbl_IBM[[#This Row],[Avg_Upmove]]="", "", tbl_IBM[[#This Row],[Avg_Upmove]]/tbl_IBM[[#This Row],[Avg_Downmove]])</f>
        <v>0.69872340425531942</v>
      </c>
      <c r="S29" s="48">
        <f ca="1">IF(ROW($N29)-4&lt;BB_Periods, "", _xlfn.STDEV.S(INDIRECT(ADDRESS(ROW($F29)-RSI_Periods +1, MATCH("Adj Close", Price_Header,0))): INDIRECT(ADDRESS(ROW($F29),MATCH("Adj Close", Price_Header,0)))))</f>
        <v>1.9585686632822459</v>
      </c>
    </row>
    <row r="30" spans="1:19" x14ac:dyDescent="0.3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120.69</v>
      </c>
      <c r="G30">
        <v>2915200</v>
      </c>
      <c r="H30" s="48">
        <f>IF(tbl_IBM[[#This Row],[Date]]=$A$5, $F30, EMA_Beta*$H29 + (1-EMA_Beta)*$F30)</f>
        <v>121.62059127692264</v>
      </c>
      <c r="I30" s="46">
        <f ca="1">IF(tbl_IBM[[#This Row],[RS]]= "", "", 100-(100/(1+tbl_IBM[[#This Row],[RS]])))</f>
        <v>44.375324002073604</v>
      </c>
      <c r="J30" s="48">
        <f ca="1">IF(ROW($N30)-4&lt;BB_Periods, "", AVERAGE(INDIRECT(ADDRESS(ROW($F30)-RSI_Periods +1, MATCH("Adj Close", Price_Header,0))): INDIRECT(ADDRESS(ROW($F30),MATCH("Adj Close", Price_Header,0)))))</f>
        <v>121.49214285714285</v>
      </c>
      <c r="K30" s="48">
        <f ca="1">IF(tbl_IBM[[#This Row],[BB_Mean]]="", "", tbl_IBM[[#This Row],[BB_Mean]]+(BB_Width*tbl_IBM[[#This Row],[BB_Stdev]]))</f>
        <v>125.37411839363637</v>
      </c>
      <c r="L30" s="48">
        <f ca="1">IF(tbl_IBM[[#This Row],[BB_Mean]]="", "", tbl_IBM[[#This Row],[BB_Mean]]-(BB_Width*tbl_IBM[[#This Row],[BB_Stdev]]))</f>
        <v>117.61016732064934</v>
      </c>
      <c r="M30" s="46">
        <f>IF(ROW(tbl_IBM[[#This Row],[Adj Close]])=5, 0, $F30-$F29)</f>
        <v>0.34999999999999432</v>
      </c>
      <c r="N30" s="46">
        <f>MAX(tbl_IBM[[#This Row],[Move]],0)</f>
        <v>0.34999999999999432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0.61142857142857054</v>
      </c>
      <c r="Q30" s="46">
        <f ca="1">IF(ROW($O30)-5&lt;RSI_Periods, "", AVERAGE(INDIRECT(ADDRESS(ROW($O30)-RSI_Periods +1, MATCH("Downmove", Price_Header,0))): INDIRECT(ADDRESS(ROW($O30),MATCH("Downmove", Price_Header,0)))))</f>
        <v>0.76642857142857068</v>
      </c>
      <c r="R30" s="46">
        <f ca="1">IF(tbl_IBM[[#This Row],[Avg_Upmove]]="", "", tbl_IBM[[#This Row],[Avg_Upmove]]/tbl_IBM[[#This Row],[Avg_Downmove]])</f>
        <v>0.79776328052190082</v>
      </c>
      <c r="S30" s="48">
        <f ca="1">IF(ROW($N30)-4&lt;BB_Periods, "", _xlfn.STDEV.S(INDIRECT(ADDRESS(ROW($F30)-RSI_Periods +1, MATCH("Adj Close", Price_Header,0))): INDIRECT(ADDRESS(ROW($F30),MATCH("Adj Close", Price_Header,0)))))</f>
        <v>1.9409877682467533</v>
      </c>
    </row>
    <row r="31" spans="1:19" x14ac:dyDescent="0.3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122.44</v>
      </c>
      <c r="G31">
        <v>3788400</v>
      </c>
      <c r="H31" s="48">
        <f>IF(tbl_IBM[[#This Row],[Date]]=$A$5, $F31, EMA_Beta*$H30 + (1-EMA_Beta)*$F31)</f>
        <v>121.70253214923038</v>
      </c>
      <c r="I31" s="46">
        <f ca="1">IF(tbl_IBM[[#This Row],[RS]]= "", "", 100-(100/(1+tbl_IBM[[#This Row],[RS]])))</f>
        <v>50.097181729834766</v>
      </c>
      <c r="J31" s="48">
        <f ca="1">IF(ROW($N31)-4&lt;BB_Periods, "", AVERAGE(INDIRECT(ADDRESS(ROW($F31)-RSI_Periods +1, MATCH("Adj Close", Price_Header,0))): INDIRECT(ADDRESS(ROW($F31),MATCH("Adj Close", Price_Header,0)))))</f>
        <v>121.49499999999999</v>
      </c>
      <c r="K31" s="48">
        <f ca="1">IF(tbl_IBM[[#This Row],[BB_Mean]]="", "", tbl_IBM[[#This Row],[BB_Mean]]+(BB_Width*tbl_IBM[[#This Row],[BB_Stdev]]))</f>
        <v>125.37991164140684</v>
      </c>
      <c r="L31" s="48">
        <f ca="1">IF(tbl_IBM[[#This Row],[BB_Mean]]="", "", tbl_IBM[[#This Row],[BB_Mean]]-(BB_Width*tbl_IBM[[#This Row],[BB_Stdev]]))</f>
        <v>117.61008835859315</v>
      </c>
      <c r="M31" s="46">
        <f>IF(ROW(tbl_IBM[[#This Row],[Adj Close]])=5, 0, $F31-$F30)</f>
        <v>1.75</v>
      </c>
      <c r="N31" s="46">
        <f>MAX(tbl_IBM[[#This Row],[Move]],0)</f>
        <v>1.75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0.73642857142857054</v>
      </c>
      <c r="Q31" s="46">
        <f ca="1">IF(ROW($O31)-5&lt;RSI_Periods, "", AVERAGE(INDIRECT(ADDRESS(ROW($O31)-RSI_Periods +1, MATCH("Downmove", Price_Header,0))): INDIRECT(ADDRESS(ROW($O31),MATCH("Downmove", Price_Header,0)))))</f>
        <v>0.73357142857142832</v>
      </c>
      <c r="R31" s="46">
        <f ca="1">IF(tbl_IBM[[#This Row],[Avg_Upmove]]="", "", tbl_IBM[[#This Row],[Avg_Upmove]]/tbl_IBM[[#This Row],[Avg_Downmove]])</f>
        <v>1.0038948393378764</v>
      </c>
      <c r="S31" s="48">
        <f ca="1">IF(ROW($N31)-4&lt;BB_Periods, "", _xlfn.STDEV.S(INDIRECT(ADDRESS(ROW($F31)-RSI_Periods +1, MATCH("Adj Close", Price_Header,0))): INDIRECT(ADDRESS(ROW($F31),MATCH("Adj Close", Price_Header,0)))))</f>
        <v>1.9424558207034233</v>
      </c>
    </row>
    <row r="32" spans="1:19" x14ac:dyDescent="0.3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123.13</v>
      </c>
      <c r="G32">
        <v>2962906</v>
      </c>
      <c r="H32" s="48">
        <f>IF(tbl_IBM[[#This Row],[Date]]=$A$5, $F32, EMA_Beta*$H31 + (1-EMA_Beta)*$F32)</f>
        <v>121.84527893430734</v>
      </c>
      <c r="I32" s="46">
        <f ca="1">IF(tbl_IBM[[#This Row],[RS]]= "", "", 100-(100/(1+tbl_IBM[[#This Row],[RS]])))</f>
        <v>50.624999999999979</v>
      </c>
      <c r="J32" s="48">
        <f ca="1">IF(ROW($N32)-4&lt;BB_Periods, "", AVERAGE(INDIRECT(ADDRESS(ROW($F32)-RSI_Periods +1, MATCH("Adj Close", Price_Header,0))): INDIRECT(ADDRESS(ROW($F32),MATCH("Adj Close", Price_Header,0)))))</f>
        <v>121.51357142857144</v>
      </c>
      <c r="K32" s="48">
        <f ca="1">IF(tbl_IBM[[#This Row],[BB_Mean]]="", "", tbl_IBM[[#This Row],[BB_Mean]]+(BB_Width*tbl_IBM[[#This Row],[BB_Stdev]]))</f>
        <v>125.42916241171213</v>
      </c>
      <c r="L32" s="48">
        <f ca="1">IF(tbl_IBM[[#This Row],[BB_Mean]]="", "", tbl_IBM[[#This Row],[BB_Mean]]-(BB_Width*tbl_IBM[[#This Row],[BB_Stdev]]))</f>
        <v>117.59798044543075</v>
      </c>
      <c r="M32" s="46">
        <f>IF(ROW(tbl_IBM[[#This Row],[Adj Close]])=5, 0, $F32-$F31)</f>
        <v>0.68999999999999773</v>
      </c>
      <c r="N32" s="46">
        <f>MAX(tbl_IBM[[#This Row],[Move]],0)</f>
        <v>0.68999999999999773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0.75214285714285622</v>
      </c>
      <c r="Q32" s="46">
        <f ca="1">IF(ROW($O32)-5&lt;RSI_Periods, "", AVERAGE(INDIRECT(ADDRESS(ROW($O32)-RSI_Periods +1, MATCH("Downmove", Price_Header,0))): INDIRECT(ADDRESS(ROW($O32),MATCH("Downmove", Price_Header,0)))))</f>
        <v>0.73357142857142832</v>
      </c>
      <c r="R32" s="46">
        <f ca="1">IF(tbl_IBM[[#This Row],[Avg_Upmove]]="", "", tbl_IBM[[#This Row],[Avg_Upmove]]/tbl_IBM[[#This Row],[Avg_Downmove]])</f>
        <v>1.0253164556962016</v>
      </c>
      <c r="S32" s="48">
        <f ca="1">IF(ROW($N32)-4&lt;BB_Periods, "", _xlfn.STDEV.S(INDIRECT(ADDRESS(ROW($F32)-RSI_Periods +1, MATCH("Adj Close", Price_Header,0))): INDIRECT(ADDRESS(ROW($F32),MATCH("Adj Close", Price_Header,0)))))</f>
        <v>1.9577954915703477</v>
      </c>
    </row>
    <row r="33" spans="1:19" x14ac:dyDescent="0.3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121.01</v>
      </c>
      <c r="G33">
        <v>5391600</v>
      </c>
      <c r="H33" s="48">
        <f>IF(tbl_IBM[[#This Row],[Date]]=$A$5, $F33, EMA_Beta*$H32 + (1-EMA_Beta)*$F33)</f>
        <v>121.76175104087662</v>
      </c>
      <c r="I33" s="46">
        <f ca="1">IF(tbl_IBM[[#This Row],[RS]]= "", "", 100-(100/(1+tbl_IBM[[#This Row],[RS]])))</f>
        <v>44.957796534873395</v>
      </c>
      <c r="J33" s="48">
        <f ca="1">IF(ROW($N33)-4&lt;BB_Periods, "", AVERAGE(INDIRECT(ADDRESS(ROW($F33)-RSI_Periods +1, MATCH("Adj Close", Price_Header,0))): INDIRECT(ADDRESS(ROW($F33),MATCH("Adj Close", Price_Header,0)))))</f>
        <v>121.35142857142856</v>
      </c>
      <c r="K33" s="48">
        <f ca="1">IF(tbl_IBM[[#This Row],[BB_Mean]]="", "", tbl_IBM[[#This Row],[BB_Mean]]+(BB_Width*tbl_IBM[[#This Row],[BB_Stdev]]))</f>
        <v>125.13779160935097</v>
      </c>
      <c r="L33" s="48">
        <f ca="1">IF(tbl_IBM[[#This Row],[BB_Mean]]="", "", tbl_IBM[[#This Row],[BB_Mean]]-(BB_Width*tbl_IBM[[#This Row],[BB_Stdev]]))</f>
        <v>117.56506553350614</v>
      </c>
      <c r="M33" s="46">
        <f>IF(ROW(tbl_IBM[[#This Row],[Adj Close]])=5, 0, $F33-$F32)</f>
        <v>-2.1199999999999903</v>
      </c>
      <c r="N33" s="46">
        <f>MAX(tbl_IBM[[#This Row],[Move]],0)</f>
        <v>0</v>
      </c>
      <c r="O33" s="46">
        <f>MAX(-tbl_IBM[[#This Row],[Move]],0)</f>
        <v>2.1199999999999903</v>
      </c>
      <c r="P33" s="46">
        <f ca="1">IF(ROW($N33)-5&lt;RSI_Periods, "", AVERAGE(INDIRECT(ADDRESS(ROW($N33)-RSI_Periods +1, MATCH("Upmove", Price_Header,0))): INDIRECT(ADDRESS(ROW($N33),MATCH("Upmove", Price_Header,0)))))</f>
        <v>0.7228571428571422</v>
      </c>
      <c r="Q33" s="46">
        <f ca="1">IF(ROW($O33)-5&lt;RSI_Periods, "", AVERAGE(INDIRECT(ADDRESS(ROW($O33)-RSI_Periods +1, MATCH("Downmove", Price_Header,0))): INDIRECT(ADDRESS(ROW($O33),MATCH("Downmove", Price_Header,0)))))</f>
        <v>0.88499999999999901</v>
      </c>
      <c r="R33" s="46">
        <f ca="1">IF(tbl_IBM[[#This Row],[Avg_Upmove]]="", "", tbl_IBM[[#This Row],[Avg_Upmove]]/tbl_IBM[[#This Row],[Avg_Downmove]])</f>
        <v>0.81678773204196953</v>
      </c>
      <c r="S33" s="48">
        <f ca="1">IF(ROW($N33)-4&lt;BB_Periods, "", _xlfn.STDEV.S(INDIRECT(ADDRESS(ROW($F33)-RSI_Periods +1, MATCH("Adj Close", Price_Header,0))): INDIRECT(ADDRESS(ROW($F33),MATCH("Adj Close", Price_Header,0)))))</f>
        <v>1.8931815189612049</v>
      </c>
    </row>
    <row r="34" spans="1:19" x14ac:dyDescent="0.3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118.53</v>
      </c>
      <c r="G34">
        <v>5311400</v>
      </c>
      <c r="H34" s="48">
        <f>IF(tbl_IBM[[#This Row],[Date]]=$A$5, $F34, EMA_Beta*$H33 + (1-EMA_Beta)*$F34)</f>
        <v>121.43857593678895</v>
      </c>
      <c r="I34" s="46">
        <f ca="1">IF(tbl_IBM[[#This Row],[RS]]= "", "", 100-(100/(1+tbl_IBM[[#This Row],[RS]])))</f>
        <v>43.508168529664665</v>
      </c>
      <c r="J34" s="48">
        <f ca="1">IF(ROW($N34)-4&lt;BB_Periods, "", AVERAGE(INDIRECT(ADDRESS(ROW($F34)-RSI_Periods +1, MATCH("Adj Close", Price_Header,0))): INDIRECT(ADDRESS(ROW($F34),MATCH("Adj Close", Price_Header,0)))))</f>
        <v>121.13571428571429</v>
      </c>
      <c r="K34" s="48">
        <f ca="1">IF(tbl_IBM[[#This Row],[BB_Mean]]="", "", tbl_IBM[[#This Row],[BB_Mean]]+(BB_Width*tbl_IBM[[#This Row],[BB_Stdev]]))</f>
        <v>125.2067505498289</v>
      </c>
      <c r="L34" s="48">
        <f ca="1">IF(tbl_IBM[[#This Row],[BB_Mean]]="", "", tbl_IBM[[#This Row],[BB_Mean]]-(BB_Width*tbl_IBM[[#This Row],[BB_Stdev]]))</f>
        <v>117.06467802159968</v>
      </c>
      <c r="M34" s="46">
        <f>IF(ROW(tbl_IBM[[#This Row],[Adj Close]])=5, 0, $F34-$F33)</f>
        <v>-2.480000000000004</v>
      </c>
      <c r="N34" s="46">
        <f>MAX(tbl_IBM[[#This Row],[Move]],0)</f>
        <v>0</v>
      </c>
      <c r="O34" s="46">
        <f>MAX(-tbl_IBM[[#This Row],[Move]],0)</f>
        <v>2.480000000000004</v>
      </c>
      <c r="P34" s="46">
        <f ca="1">IF(ROW($N34)-5&lt;RSI_Periods, "", AVERAGE(INDIRECT(ADDRESS(ROW($N34)-RSI_Periods +1, MATCH("Upmove", Price_Header,0))): INDIRECT(ADDRESS(ROW($N34),MATCH("Upmove", Price_Header,0)))))</f>
        <v>0.7228571428571422</v>
      </c>
      <c r="Q34" s="46">
        <f ca="1">IF(ROW($O34)-5&lt;RSI_Periods, "", AVERAGE(INDIRECT(ADDRESS(ROW($O34)-RSI_Periods +1, MATCH("Downmove", Price_Header,0))): INDIRECT(ADDRESS(ROW($O34),MATCH("Downmove", Price_Header,0)))))</f>
        <v>0.93857142857142761</v>
      </c>
      <c r="R34" s="46">
        <f ca="1">IF(tbl_IBM[[#This Row],[Avg_Upmove]]="", "", tbl_IBM[[#This Row],[Avg_Upmove]]/tbl_IBM[[#This Row],[Avg_Downmove]])</f>
        <v>0.77016742770167435</v>
      </c>
      <c r="S34" s="48">
        <f ca="1">IF(ROW($N34)-4&lt;BB_Periods, "", _xlfn.STDEV.S(INDIRECT(ADDRESS(ROW($F34)-RSI_Periods +1, MATCH("Adj Close", Price_Header,0))): INDIRECT(ADDRESS(ROW($F34),MATCH("Adj Close", Price_Header,0)))))</f>
        <v>2.0355181320573044</v>
      </c>
    </row>
    <row r="35" spans="1:19" x14ac:dyDescent="0.3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118.79</v>
      </c>
      <c r="G35">
        <v>2956300</v>
      </c>
      <c r="H35" s="48">
        <f>IF(tbl_IBM[[#This Row],[Date]]=$A$5, $F35, EMA_Beta*$H34 + (1-EMA_Beta)*$F35)</f>
        <v>121.17371834311007</v>
      </c>
      <c r="I35" s="46">
        <f ca="1">IF(tbl_IBM[[#This Row],[RS]]= "", "", 100-(100/(1+tbl_IBM[[#This Row],[RS]])))</f>
        <v>43.918053777208712</v>
      </c>
      <c r="J35" s="48">
        <f ca="1">IF(ROW($N35)-4&lt;BB_Periods, "", AVERAGE(INDIRECT(ADDRESS(ROW($F35)-RSI_Periods +1, MATCH("Adj Close", Price_Header,0))): INDIRECT(ADDRESS(ROW($F35),MATCH("Adj Close", Price_Header,0)))))</f>
        <v>120.93214285714286</v>
      </c>
      <c r="K35" s="48">
        <f ca="1">IF(tbl_IBM[[#This Row],[BB_Mean]]="", "", tbl_IBM[[#This Row],[BB_Mean]]+(BB_Width*tbl_IBM[[#This Row],[BB_Stdev]]))</f>
        <v>125.17591605902476</v>
      </c>
      <c r="L35" s="48">
        <f ca="1">IF(tbl_IBM[[#This Row],[BB_Mean]]="", "", tbl_IBM[[#This Row],[BB_Mean]]-(BB_Width*tbl_IBM[[#This Row],[BB_Stdev]]))</f>
        <v>116.68836965526097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0.73499999999999943</v>
      </c>
      <c r="Q35" s="46">
        <f ca="1">IF(ROW($O35)-5&lt;RSI_Periods, "", AVERAGE(INDIRECT(ADDRESS(ROW($O35)-RSI_Periods +1, MATCH("Downmove", Price_Header,0))): INDIRECT(ADDRESS(ROW($O35),MATCH("Downmove", Price_Header,0)))))</f>
        <v>0.93857142857142761</v>
      </c>
      <c r="R35" s="46">
        <f ca="1">IF(tbl_IBM[[#This Row],[Avg_Upmove]]="", "", tbl_IBM[[#This Row],[Avg_Upmove]]/tbl_IBM[[#This Row],[Avg_Downmove]])</f>
        <v>0.78310502283105043</v>
      </c>
      <c r="S35" s="48">
        <f ca="1">IF(ROW($N35)-4&lt;BB_Periods, "", _xlfn.STDEV.S(INDIRECT(ADDRESS(ROW($F35)-RSI_Periods +1, MATCH("Adj Close", Price_Header,0))): INDIRECT(ADDRESS(ROW($F35),MATCH("Adj Close", Price_Header,0)))))</f>
        <v>2.1218866009409494</v>
      </c>
    </row>
    <row r="36" spans="1:19" x14ac:dyDescent="0.3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117.13</v>
      </c>
      <c r="G36">
        <v>3937600</v>
      </c>
      <c r="H36" s="48">
        <f>IF(tbl_IBM[[#This Row],[Date]]=$A$5, $F36, EMA_Beta*$H35 + (1-EMA_Beta)*$F36)</f>
        <v>120.76934650879906</v>
      </c>
      <c r="I36" s="46">
        <f ca="1">IF(tbl_IBM[[#This Row],[RS]]= "", "", 100-(100/(1+tbl_IBM[[#This Row],[RS]])))</f>
        <v>27.379784102060839</v>
      </c>
      <c r="J36" s="48">
        <f ca="1">IF(ROW($N36)-4&lt;BB_Periods, "", AVERAGE(INDIRECT(ADDRESS(ROW($F36)-RSI_Periods +1, MATCH("Adj Close", Price_Header,0))): INDIRECT(ADDRESS(ROW($F36),MATCH("Adj Close", Price_Header,0)))))</f>
        <v>120.27357142857143</v>
      </c>
      <c r="K36" s="48">
        <f ca="1">IF(tbl_IBM[[#This Row],[BB_Mean]]="", "", tbl_IBM[[#This Row],[BB_Mean]]+(BB_Width*tbl_IBM[[#This Row],[BB_Stdev]]))</f>
        <v>123.67322396414582</v>
      </c>
      <c r="L36" s="48">
        <f ca="1">IF(tbl_IBM[[#This Row],[BB_Mean]]="", "", tbl_IBM[[#This Row],[BB_Mean]]-(BB_Width*tbl_IBM[[#This Row],[BB_Stdev]]))</f>
        <v>116.87391889299704</v>
      </c>
      <c r="M36" s="46">
        <f>IF(ROW(tbl_IBM[[#This Row],[Adj Close]])=5, 0, $F36-$F35)</f>
        <v>-1.6600000000000108</v>
      </c>
      <c r="N36" s="46">
        <f>MAX(tbl_IBM[[#This Row],[Move]],0)</f>
        <v>0</v>
      </c>
      <c r="O36" s="46">
        <f>MAX(-tbl_IBM[[#This Row],[Move]],0)</f>
        <v>1.6600000000000108</v>
      </c>
      <c r="P36" s="46">
        <f ca="1">IF(ROW($N36)-5&lt;RSI_Periods, "", AVERAGE(INDIRECT(ADDRESS(ROW($N36)-RSI_Periods +1, MATCH("Upmove", Price_Header,0))): INDIRECT(ADDRESS(ROW($N36),MATCH("Upmove", Price_Header,0)))))</f>
        <v>0.39857142857142847</v>
      </c>
      <c r="Q36" s="46">
        <f ca="1">IF(ROW($O36)-5&lt;RSI_Periods, "", AVERAGE(INDIRECT(ADDRESS(ROW($O36)-RSI_Periods +1, MATCH("Downmove", Price_Header,0))): INDIRECT(ADDRESS(ROW($O36),MATCH("Downmove", Price_Header,0)))))</f>
        <v>1.0571428571428569</v>
      </c>
      <c r="R36" s="46">
        <f ca="1">IF(tbl_IBM[[#This Row],[Avg_Upmove]]="", "", tbl_IBM[[#This Row],[Avg_Upmove]]/tbl_IBM[[#This Row],[Avg_Downmove]])</f>
        <v>0.37702702702702701</v>
      </c>
      <c r="S36" s="48">
        <f ca="1">IF(ROW($N36)-4&lt;BB_Periods, "", _xlfn.STDEV.S(INDIRECT(ADDRESS(ROW($F36)-RSI_Periods +1, MATCH("Adj Close", Price_Header,0))): INDIRECT(ADDRESS(ROW($F36),MATCH("Adj Close", Price_Header,0)))))</f>
        <v>1.6998262677871931</v>
      </c>
    </row>
    <row r="37" spans="1:19" x14ac:dyDescent="0.3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116.4</v>
      </c>
      <c r="G37">
        <v>3546200</v>
      </c>
      <c r="H37" s="48">
        <f>IF(tbl_IBM[[#This Row],[Date]]=$A$5, $F37, EMA_Beta*$H36 + (1-EMA_Beta)*$F37)</f>
        <v>120.33241185791915</v>
      </c>
      <c r="I37" s="46">
        <f ca="1">IF(tbl_IBM[[#This Row],[RS]]= "", "", 100-(100/(1+tbl_IBM[[#This Row],[RS]])))</f>
        <v>32.013769363166958</v>
      </c>
      <c r="J37" s="48">
        <f ca="1">IF(ROW($N37)-4&lt;BB_Periods, "", AVERAGE(INDIRECT(ADDRESS(ROW($F37)-RSI_Periods +1, MATCH("Adj Close", Price_Header,0))): INDIRECT(ADDRESS(ROW($F37),MATCH("Adj Close", Price_Header,0)))))</f>
        <v>119.82571428571431</v>
      </c>
      <c r="K37" s="48">
        <f ca="1">IF(tbl_IBM[[#This Row],[BB_Mean]]="", "", tbl_IBM[[#This Row],[BB_Mean]]+(BB_Width*tbl_IBM[[#This Row],[BB_Stdev]]))</f>
        <v>123.5058456737176</v>
      </c>
      <c r="L37" s="48">
        <f ca="1">IF(tbl_IBM[[#This Row],[BB_Mean]]="", "", tbl_IBM[[#This Row],[BB_Mean]]-(BB_Width*tbl_IBM[[#This Row],[BB_Stdev]]))</f>
        <v>116.14558289771102</v>
      </c>
      <c r="M37" s="46">
        <f>IF(ROW(tbl_IBM[[#This Row],[Adj Close]])=5, 0, $F37-$F36)</f>
        <v>-0.72999999999998977</v>
      </c>
      <c r="N37" s="46">
        <f>MAX(tbl_IBM[[#This Row],[Move]],0)</f>
        <v>0</v>
      </c>
      <c r="O37" s="46">
        <f>MAX(-tbl_IBM[[#This Row],[Move]],0)</f>
        <v>0.72999999999998977</v>
      </c>
      <c r="P37" s="46">
        <f ca="1">IF(ROW($N37)-5&lt;RSI_Periods, "", AVERAGE(INDIRECT(ADDRESS(ROW($N37)-RSI_Periods +1, MATCH("Upmove", Price_Header,0))): INDIRECT(ADDRESS(ROW($N37),MATCH("Upmove", Price_Header,0)))))</f>
        <v>0.39857142857142847</v>
      </c>
      <c r="Q37" s="46">
        <f ca="1">IF(ROW($O37)-5&lt;RSI_Periods, "", AVERAGE(INDIRECT(ADDRESS(ROW($O37)-RSI_Periods +1, MATCH("Downmove", Price_Header,0))): INDIRECT(ADDRESS(ROW($O37),MATCH("Downmove", Price_Header,0)))))</f>
        <v>0.84642857142857097</v>
      </c>
      <c r="R37" s="46">
        <f ca="1">IF(tbl_IBM[[#This Row],[Avg_Upmove]]="", "", tbl_IBM[[#This Row],[Avg_Upmove]]/tbl_IBM[[#This Row],[Avg_Downmove]])</f>
        <v>0.47088607594936721</v>
      </c>
      <c r="S37" s="48">
        <f ca="1">IF(ROW($N37)-4&lt;BB_Periods, "", _xlfn.STDEV.S(INDIRECT(ADDRESS(ROW($F37)-RSI_Periods +1, MATCH("Adj Close", Price_Header,0))): INDIRECT(ADDRESS(ROW($F37),MATCH("Adj Close", Price_Header,0)))))</f>
        <v>1.8400656940016444</v>
      </c>
    </row>
    <row r="38" spans="1:19" x14ac:dyDescent="0.3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117.25</v>
      </c>
      <c r="G38">
        <v>2953700</v>
      </c>
      <c r="H38" s="48">
        <f>IF(tbl_IBM[[#This Row],[Date]]=$A$5, $F38, EMA_Beta*$H37 + (1-EMA_Beta)*$F38)</f>
        <v>120.02417067212724</v>
      </c>
      <c r="I38" s="46">
        <f ca="1">IF(tbl_IBM[[#This Row],[RS]]= "", "", 100-(100/(1+tbl_IBM[[#This Row],[RS]])))</f>
        <v>39.789603960396036</v>
      </c>
      <c r="J38" s="48">
        <f ca="1">IF(ROW($N38)-4&lt;BB_Periods, "", AVERAGE(INDIRECT(ADDRESS(ROW($F38)-RSI_Periods +1, MATCH("Adj Close", Price_Header,0))): INDIRECT(ADDRESS(ROW($F38),MATCH("Adj Close", Price_Header,0)))))</f>
        <v>119.59000000000002</v>
      </c>
      <c r="K38" s="48">
        <f ca="1">IF(tbl_IBM[[#This Row],[BB_Mean]]="", "", tbl_IBM[[#This Row],[BB_Mean]]+(BB_Width*tbl_IBM[[#This Row],[BB_Stdev]]))</f>
        <v>123.48665734464022</v>
      </c>
      <c r="L38" s="48">
        <f ca="1">IF(tbl_IBM[[#This Row],[BB_Mean]]="", "", tbl_IBM[[#This Row],[BB_Mean]]-(BB_Width*tbl_IBM[[#This Row],[BB_Stdev]]))</f>
        <v>115.69334265535981</v>
      </c>
      <c r="M38" s="46">
        <f>IF(ROW(tbl_IBM[[#This Row],[Adj Close]])=5, 0, $F38-$F37)</f>
        <v>0.84999999999999432</v>
      </c>
      <c r="N38" s="46">
        <f>MAX(tbl_IBM[[#This Row],[Move]],0)</f>
        <v>0.84999999999999432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0.45928571428571374</v>
      </c>
      <c r="Q38" s="46">
        <f ca="1">IF(ROW($O38)-5&lt;RSI_Periods, "", AVERAGE(INDIRECT(ADDRESS(ROW($O38)-RSI_Periods +1, MATCH("Downmove", Price_Header,0))): INDIRECT(ADDRESS(ROW($O38),MATCH("Downmove", Price_Header,0)))))</f>
        <v>0.69499999999999929</v>
      </c>
      <c r="R38" s="46">
        <f ca="1">IF(tbl_IBM[[#This Row],[Avg_Upmove]]="", "", tbl_IBM[[#This Row],[Avg_Upmove]]/tbl_IBM[[#This Row],[Avg_Downmove]])</f>
        <v>0.66084275436793416</v>
      </c>
      <c r="S38" s="48">
        <f ca="1">IF(ROW($N38)-4&lt;BB_Periods, "", _xlfn.STDEV.S(INDIRECT(ADDRESS(ROW($F38)-RSI_Periods +1, MATCH("Adj Close", Price_Header,0))): INDIRECT(ADDRESS(ROW($F38),MATCH("Adj Close", Price_Header,0)))))</f>
        <v>1.9483286723201021</v>
      </c>
    </row>
    <row r="39" spans="1:19" x14ac:dyDescent="0.3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119.99</v>
      </c>
      <c r="G39">
        <v>3509200</v>
      </c>
      <c r="H39" s="48">
        <f>IF(tbl_IBM[[#This Row],[Date]]=$A$5, $F39, EMA_Beta*$H38 + (1-EMA_Beta)*$F39)</f>
        <v>120.02075360491452</v>
      </c>
      <c r="I39" s="46">
        <f ca="1">IF(tbl_IBM[[#This Row],[RS]]= "", "", 100-(100/(1+tbl_IBM[[#This Row],[RS]])))</f>
        <v>51.430173864273669</v>
      </c>
      <c r="J39" s="48">
        <f ca="1">IF(ROW($N39)-4&lt;BB_Periods, "", AVERAGE(INDIRECT(ADDRESS(ROW($F39)-RSI_Periods +1, MATCH("Adj Close", Price_Header,0))): INDIRECT(ADDRESS(ROW($F39),MATCH("Adj Close", Price_Header,0)))))</f>
        <v>119.62642857142859</v>
      </c>
      <c r="K39" s="48">
        <f ca="1">IF(tbl_IBM[[#This Row],[BB_Mean]]="", "", tbl_IBM[[#This Row],[BB_Mean]]+(BB_Width*tbl_IBM[[#This Row],[BB_Stdev]]))</f>
        <v>123.52818838852775</v>
      </c>
      <c r="L39" s="48">
        <f ca="1">IF(tbl_IBM[[#This Row],[BB_Mean]]="", "", tbl_IBM[[#This Row],[BB_Mean]]-(BB_Width*tbl_IBM[[#This Row],[BB_Stdev]]))</f>
        <v>115.72466875432943</v>
      </c>
      <c r="M39" s="46">
        <f>IF(ROW(tbl_IBM[[#This Row],[Adj Close]])=5, 0, $F39-$F38)</f>
        <v>2.7399999999999949</v>
      </c>
      <c r="N39" s="46">
        <f>MAX(tbl_IBM[[#This Row],[Move]],0)</f>
        <v>2.7399999999999949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0.65499999999999914</v>
      </c>
      <c r="Q39" s="46">
        <f ca="1">IF(ROW($O39)-5&lt;RSI_Periods, "", AVERAGE(INDIRECT(ADDRESS(ROW($O39)-RSI_Periods +1, MATCH("Downmove", Price_Header,0))): INDIRECT(ADDRESS(ROW($O39),MATCH("Downmove", Price_Header,0)))))</f>
        <v>0.61857142857142833</v>
      </c>
      <c r="R39" s="46">
        <f ca="1">IF(tbl_IBM[[#This Row],[Avg_Upmove]]="", "", tbl_IBM[[#This Row],[Avg_Upmove]]/tbl_IBM[[#This Row],[Avg_Downmove]])</f>
        <v>1.058891454965357</v>
      </c>
      <c r="S39" s="48">
        <f ca="1">IF(ROW($N39)-4&lt;BB_Periods, "", _xlfn.STDEV.S(INDIRECT(ADDRESS(ROW($F39)-RSI_Periods +1, MATCH("Adj Close", Price_Header,0))): INDIRECT(ADDRESS(ROW($F39),MATCH("Adj Close", Price_Header,0)))))</f>
        <v>1.9508799085495787</v>
      </c>
    </row>
    <row r="40" spans="1:19" x14ac:dyDescent="0.3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119.21</v>
      </c>
      <c r="G40">
        <v>2106600</v>
      </c>
      <c r="H40" s="48">
        <f>IF(tbl_IBM[[#This Row],[Date]]=$A$5, $F40, EMA_Beta*$H39 + (1-EMA_Beta)*$F40)</f>
        <v>119.93967824442306</v>
      </c>
      <c r="I40" s="46">
        <f ca="1">IF(tbl_IBM[[#This Row],[RS]]= "", "", 100-(100/(1+tbl_IBM[[#This Row],[RS]])))</f>
        <v>46.302616609783804</v>
      </c>
      <c r="J40" s="48">
        <f ca="1">IF(ROW($N40)-4&lt;BB_Periods, "", AVERAGE(INDIRECT(ADDRESS(ROW($F40)-RSI_Periods +1, MATCH("Adj Close", Price_Header,0))): INDIRECT(ADDRESS(ROW($F40),MATCH("Adj Close", Price_Header,0)))))</f>
        <v>119.53357142857143</v>
      </c>
      <c r="K40" s="48">
        <f ca="1">IF(tbl_IBM[[#This Row],[BB_Mean]]="", "", tbl_IBM[[#This Row],[BB_Mean]]+(BB_Width*tbl_IBM[[#This Row],[BB_Stdev]]))</f>
        <v>123.40651987521123</v>
      </c>
      <c r="L40" s="48">
        <f ca="1">IF(tbl_IBM[[#This Row],[BB_Mean]]="", "", tbl_IBM[[#This Row],[BB_Mean]]-(BB_Width*tbl_IBM[[#This Row],[BB_Stdev]]))</f>
        <v>115.66062298193164</v>
      </c>
      <c r="M40" s="46">
        <f>IF(ROW(tbl_IBM[[#This Row],[Adj Close]])=5, 0, $F40-$F39)</f>
        <v>-0.78000000000000114</v>
      </c>
      <c r="N40" s="46">
        <f>MAX(tbl_IBM[[#This Row],[Move]],0)</f>
        <v>0</v>
      </c>
      <c r="O40" s="46">
        <f>MAX(-tbl_IBM[[#This Row],[Move]],0)</f>
        <v>0.78000000000000114</v>
      </c>
      <c r="P40" s="46">
        <f ca="1">IF(ROW($N40)-5&lt;RSI_Periods, "", AVERAGE(INDIRECT(ADDRESS(ROW($N40)-RSI_Periods +1, MATCH("Upmove", Price_Header,0))): INDIRECT(ADDRESS(ROW($N40),MATCH("Upmove", Price_Header,0)))))</f>
        <v>0.58142857142857041</v>
      </c>
      <c r="Q40" s="46">
        <f ca="1">IF(ROW($O40)-5&lt;RSI_Periods, "", AVERAGE(INDIRECT(ADDRESS(ROW($O40)-RSI_Periods +1, MATCH("Downmove", Price_Header,0))): INDIRECT(ADDRESS(ROW($O40),MATCH("Downmove", Price_Header,0)))))</f>
        <v>0.67428571428571416</v>
      </c>
      <c r="R40" s="46">
        <f ca="1">IF(tbl_IBM[[#This Row],[Avg_Upmove]]="", "", tbl_IBM[[#This Row],[Avg_Upmove]]/tbl_IBM[[#This Row],[Avg_Downmove]])</f>
        <v>0.86228813559321904</v>
      </c>
      <c r="S40" s="48">
        <f ca="1">IF(ROW($N40)-4&lt;BB_Periods, "", _xlfn.STDEV.S(INDIRECT(ADDRESS(ROW($F40)-RSI_Periods +1, MATCH("Adj Close", Price_Header,0))): INDIRECT(ADDRESS(ROW($F40),MATCH("Adj Close", Price_Header,0)))))</f>
        <v>1.9364742233199008</v>
      </c>
    </row>
    <row r="41" spans="1:19" x14ac:dyDescent="0.3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119.93</v>
      </c>
      <c r="G41">
        <v>3261100</v>
      </c>
      <c r="H41" s="48">
        <f>IF(tbl_IBM[[#This Row],[Date]]=$A$5, $F41, EMA_Beta*$H40 + (1-EMA_Beta)*$F41)</f>
        <v>119.93871041998075</v>
      </c>
      <c r="I41" s="46">
        <f ca="1">IF(tbl_IBM[[#This Row],[RS]]= "", "", 100-(100/(1+tbl_IBM[[#This Row],[RS]])))</f>
        <v>53.277209861695745</v>
      </c>
      <c r="J41" s="48">
        <f ca="1">IF(ROW($N41)-4&lt;BB_Periods, "", AVERAGE(INDIRECT(ADDRESS(ROW($F41)-RSI_Periods +1, MATCH("Adj Close", Price_Header,0))): INDIRECT(ADDRESS(ROW($F41),MATCH("Adj Close", Price_Header,0)))))</f>
        <v>119.61142857142856</v>
      </c>
      <c r="K41" s="48">
        <f ca="1">IF(tbl_IBM[[#This Row],[BB_Mean]]="", "", tbl_IBM[[#This Row],[BB_Mean]]+(BB_Width*tbl_IBM[[#This Row],[BB_Stdev]]))</f>
        <v>123.46810595481966</v>
      </c>
      <c r="L41" s="48">
        <f ca="1">IF(tbl_IBM[[#This Row],[BB_Mean]]="", "", tbl_IBM[[#This Row],[BB_Mean]]-(BB_Width*tbl_IBM[[#This Row],[BB_Stdev]]))</f>
        <v>115.75475118803746</v>
      </c>
      <c r="M41" s="46">
        <f>IF(ROW(tbl_IBM[[#This Row],[Adj Close]])=5, 0, $F41-$F40)</f>
        <v>0.72000000000001307</v>
      </c>
      <c r="N41" s="46">
        <f>MAX(tbl_IBM[[#This Row],[Move]],0)</f>
        <v>0.72000000000001307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0.63285714285714278</v>
      </c>
      <c r="Q41" s="46">
        <f ca="1">IF(ROW($O41)-5&lt;RSI_Periods, "", AVERAGE(INDIRECT(ADDRESS(ROW($O41)-RSI_Periods +1, MATCH("Downmove", Price_Header,0))): INDIRECT(ADDRESS(ROW($O41),MATCH("Downmove", Price_Header,0)))))</f>
        <v>0.55499999999999972</v>
      </c>
      <c r="R41" s="46">
        <f ca="1">IF(tbl_IBM[[#This Row],[Avg_Upmove]]="", "", tbl_IBM[[#This Row],[Avg_Upmove]]/tbl_IBM[[#This Row],[Avg_Downmove]])</f>
        <v>1.1402831402831408</v>
      </c>
      <c r="S41" s="48">
        <f ca="1">IF(ROW($N41)-4&lt;BB_Periods, "", _xlfn.STDEV.S(INDIRECT(ADDRESS(ROW($F41)-RSI_Periods +1, MATCH("Adj Close", Price_Header,0))): INDIRECT(ADDRESS(ROW($F41),MATCH("Adj Close", Price_Header,0)))))</f>
        <v>1.9283386916955501</v>
      </c>
    </row>
    <row r="42" spans="1:19" x14ac:dyDescent="0.3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119.36</v>
      </c>
      <c r="G42">
        <v>3211700</v>
      </c>
      <c r="H42" s="48">
        <f>IF(tbl_IBM[[#This Row],[Date]]=$A$5, $F42, EMA_Beta*$H41 + (1-EMA_Beta)*$F42)</f>
        <v>119.88083937798267</v>
      </c>
      <c r="I42" s="46">
        <f ca="1">IF(tbl_IBM[[#This Row],[RS]]= "", "", 100-(100/(1+tbl_IBM[[#This Row],[RS]])))</f>
        <v>48.897058823529413</v>
      </c>
      <c r="J42" s="48">
        <f ca="1">IF(ROW($N42)-4&lt;BB_Periods, "", AVERAGE(INDIRECT(ADDRESS(ROW($F42)-RSI_Periods +1, MATCH("Adj Close", Price_Header,0))): INDIRECT(ADDRESS(ROW($F42),MATCH("Adj Close", Price_Header,0)))))</f>
        <v>119.58571428571429</v>
      </c>
      <c r="K42" s="48">
        <f ca="1">IF(tbl_IBM[[#This Row],[BB_Mean]]="", "", tbl_IBM[[#This Row],[BB_Mean]]+(BB_Width*tbl_IBM[[#This Row],[BB_Stdev]]))</f>
        <v>123.44407355666564</v>
      </c>
      <c r="L42" s="48">
        <f ca="1">IF(tbl_IBM[[#This Row],[BB_Mean]]="", "", tbl_IBM[[#This Row],[BB_Mean]]-(BB_Width*tbl_IBM[[#This Row],[BB_Stdev]]))</f>
        <v>115.72735501476294</v>
      </c>
      <c r="M42" s="46">
        <f>IF(ROW(tbl_IBM[[#This Row],[Adj Close]])=5, 0, $F42-$F41)</f>
        <v>-0.57000000000000739</v>
      </c>
      <c r="N42" s="46">
        <f>MAX(tbl_IBM[[#This Row],[Move]],0)</f>
        <v>0</v>
      </c>
      <c r="O42" s="46">
        <f>MAX(-tbl_IBM[[#This Row],[Move]],0)</f>
        <v>0.57000000000000739</v>
      </c>
      <c r="P42" s="46">
        <f ca="1">IF(ROW($N42)-5&lt;RSI_Periods, "", AVERAGE(INDIRECT(ADDRESS(ROW($N42)-RSI_Periods +1, MATCH("Upmove", Price_Header,0))): INDIRECT(ADDRESS(ROW($N42),MATCH("Upmove", Price_Header,0)))))</f>
        <v>0.57000000000000028</v>
      </c>
      <c r="Q42" s="46">
        <f ca="1">IF(ROW($O42)-5&lt;RSI_Periods, "", AVERAGE(INDIRECT(ADDRESS(ROW($O42)-RSI_Periods +1, MATCH("Downmove", Price_Header,0))): INDIRECT(ADDRESS(ROW($O42),MATCH("Downmove", Price_Header,0)))))</f>
        <v>0.59571428571428597</v>
      </c>
      <c r="R42" s="46">
        <f ca="1">IF(tbl_IBM[[#This Row],[Avg_Upmove]]="", "", tbl_IBM[[#This Row],[Avg_Upmove]]/tbl_IBM[[#This Row],[Avg_Downmove]])</f>
        <v>0.95683453237410077</v>
      </c>
      <c r="S42" s="48">
        <f ca="1">IF(ROW($N42)-4&lt;BB_Periods, "", _xlfn.STDEV.S(INDIRECT(ADDRESS(ROW($F42)-RSI_Periods +1, MATCH("Adj Close", Price_Header,0))): INDIRECT(ADDRESS(ROW($F42),MATCH("Adj Close", Price_Header,0)))))</f>
        <v>1.9291796354756758</v>
      </c>
    </row>
    <row r="43" spans="1:19" x14ac:dyDescent="0.3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118.85</v>
      </c>
      <c r="G43">
        <v>2925200</v>
      </c>
      <c r="H43" s="48">
        <f>IF(tbl_IBM[[#This Row],[Date]]=$A$5, $F43, EMA_Beta*$H42 + (1-EMA_Beta)*$F43)</f>
        <v>119.77775544018439</v>
      </c>
      <c r="I43" s="46">
        <f ca="1">IF(tbl_IBM[[#This Row],[RS]]= "", "", 100-(100/(1+tbl_IBM[[#This Row],[RS]])))</f>
        <v>45.404071560764933</v>
      </c>
      <c r="J43" s="48">
        <f ca="1">IF(ROW($N43)-4&lt;BB_Periods, "", AVERAGE(INDIRECT(ADDRESS(ROW($F43)-RSI_Periods +1, MATCH("Adj Close", Price_Header,0))): INDIRECT(ADDRESS(ROW($F43),MATCH("Adj Close", Price_Header,0)))))</f>
        <v>119.47928571428569</v>
      </c>
      <c r="K43" s="48">
        <f ca="1">IF(tbl_IBM[[#This Row],[BB_Mean]]="", "", tbl_IBM[[#This Row],[BB_Mean]]+(BB_Width*tbl_IBM[[#This Row],[BB_Stdev]]))</f>
        <v>123.33021139150001</v>
      </c>
      <c r="L43" s="48">
        <f ca="1">IF(tbl_IBM[[#This Row],[BB_Mean]]="", "", tbl_IBM[[#This Row],[BB_Mean]]-(BB_Width*tbl_IBM[[#This Row],[BB_Stdev]]))</f>
        <v>115.62836003707137</v>
      </c>
      <c r="M43" s="46">
        <f>IF(ROW(tbl_IBM[[#This Row],[Adj Close]])=5, 0, $F43-$F42)</f>
        <v>-0.51000000000000512</v>
      </c>
      <c r="N43" s="46">
        <f>MAX(tbl_IBM[[#This Row],[Move]],0)</f>
        <v>0</v>
      </c>
      <c r="O43" s="46">
        <f>MAX(-tbl_IBM[[#This Row],[Move]],0)</f>
        <v>0.51000000000000512</v>
      </c>
      <c r="P43" s="46">
        <f ca="1">IF(ROW($N43)-5&lt;RSI_Periods, "", AVERAGE(INDIRECT(ADDRESS(ROW($N43)-RSI_Periods +1, MATCH("Upmove", Price_Header,0))): INDIRECT(ADDRESS(ROW($N43),MATCH("Upmove", Price_Header,0)))))</f>
        <v>0.52571428571428569</v>
      </c>
      <c r="Q43" s="46">
        <f ca="1">IF(ROW($O43)-5&lt;RSI_Periods, "", AVERAGE(INDIRECT(ADDRESS(ROW($O43)-RSI_Periods +1, MATCH("Downmove", Price_Header,0))): INDIRECT(ADDRESS(ROW($O43),MATCH("Downmove", Price_Header,0)))))</f>
        <v>0.63214285714285778</v>
      </c>
      <c r="R43" s="46">
        <f ca="1">IF(tbl_IBM[[#This Row],[Avg_Upmove]]="", "", tbl_IBM[[#This Row],[Avg_Upmove]]/tbl_IBM[[#This Row],[Avg_Downmove]])</f>
        <v>0.83163841807909511</v>
      </c>
      <c r="S43" s="48">
        <f ca="1">IF(ROW($N43)-4&lt;BB_Periods, "", _xlfn.STDEV.S(INDIRECT(ADDRESS(ROW($F43)-RSI_Periods +1, MATCH("Adj Close", Price_Header,0))): INDIRECT(ADDRESS(ROW($F43),MATCH("Adj Close", Price_Header,0)))))</f>
        <v>1.9254628386071591</v>
      </c>
    </row>
    <row r="44" spans="1:19" x14ac:dyDescent="0.3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120.27</v>
      </c>
      <c r="G44">
        <v>3050500</v>
      </c>
      <c r="H44" s="48">
        <f>IF(tbl_IBM[[#This Row],[Date]]=$A$5, $F44, EMA_Beta*$H43 + (1-EMA_Beta)*$F44)</f>
        <v>119.82697989616595</v>
      </c>
      <c r="I44" s="46">
        <f ca="1">IF(tbl_IBM[[#This Row],[RS]]= "", "", 100-(100/(1+tbl_IBM[[#This Row],[RS]])))</f>
        <v>48.784722222222221</v>
      </c>
      <c r="J44" s="48">
        <f ca="1">IF(ROW($N44)-4&lt;BB_Periods, "", AVERAGE(INDIRECT(ADDRESS(ROW($F44)-RSI_Periods +1, MATCH("Adj Close", Price_Header,0))): INDIRECT(ADDRESS(ROW($F44),MATCH("Adj Close", Price_Header,0)))))</f>
        <v>119.44928571428569</v>
      </c>
      <c r="K44" s="48">
        <f ca="1">IF(tbl_IBM[[#This Row],[BB_Mean]]="", "", tbl_IBM[[#This Row],[BB_Mean]]+(BB_Width*tbl_IBM[[#This Row],[BB_Stdev]]))</f>
        <v>123.26597347915532</v>
      </c>
      <c r="L44" s="48">
        <f ca="1">IF(tbl_IBM[[#This Row],[BB_Mean]]="", "", tbl_IBM[[#This Row],[BB_Mean]]-(BB_Width*tbl_IBM[[#This Row],[BB_Stdev]]))</f>
        <v>115.63259794941607</v>
      </c>
      <c r="M44" s="46">
        <f>IF(ROW(tbl_IBM[[#This Row],[Adj Close]])=5, 0, $F44-$F43)</f>
        <v>1.4200000000000017</v>
      </c>
      <c r="N44" s="46">
        <f>MAX(tbl_IBM[[#This Row],[Move]],0)</f>
        <v>1.4200000000000017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0.60214285714285765</v>
      </c>
      <c r="Q44" s="46">
        <f ca="1">IF(ROW($O44)-5&lt;RSI_Periods, "", AVERAGE(INDIRECT(ADDRESS(ROW($O44)-RSI_Periods +1, MATCH("Downmove", Price_Header,0))): INDIRECT(ADDRESS(ROW($O44),MATCH("Downmove", Price_Header,0)))))</f>
        <v>0.63214285714285778</v>
      </c>
      <c r="R44" s="46">
        <f ca="1">IF(tbl_IBM[[#This Row],[Avg_Upmove]]="", "", tbl_IBM[[#This Row],[Avg_Upmove]]/tbl_IBM[[#This Row],[Avg_Downmove]])</f>
        <v>0.95254237288135579</v>
      </c>
      <c r="S44" s="48">
        <f ca="1">IF(ROW($N44)-4&lt;BB_Periods, "", _xlfn.STDEV.S(INDIRECT(ADDRESS(ROW($F44)-RSI_Periods +1, MATCH("Adj Close", Price_Header,0))): INDIRECT(ADDRESS(ROW($F44),MATCH("Adj Close", Price_Header,0)))))</f>
        <v>1.9083438824348113</v>
      </c>
    </row>
    <row r="45" spans="1:19" x14ac:dyDescent="0.35">
      <c r="A45" s="8">
        <v>44110</v>
      </c>
      <c r="B45" s="48">
        <v>122.58</v>
      </c>
      <c r="C45" s="48">
        <v>124.83</v>
      </c>
      <c r="D45" s="48">
        <v>121.59</v>
      </c>
      <c r="E45" s="48">
        <v>121.97</v>
      </c>
      <c r="F45" s="48">
        <v>120.23</v>
      </c>
      <c r="G45">
        <v>3872300</v>
      </c>
      <c r="H45" s="48">
        <f>IF(tbl_IBM[[#This Row],[Date]]=$A$5, $F45, EMA_Beta*$H44 + (1-EMA_Beta)*$F45)</f>
        <v>119.86728190654935</v>
      </c>
      <c r="I45" s="46">
        <f ca="1">IF(tbl_IBM[[#This Row],[RS]]= "", "", 100-(100/(1+tbl_IBM[[#This Row],[RS]])))</f>
        <v>42.903018625562005</v>
      </c>
      <c r="J45" s="48">
        <f ca="1">IF(ROW($N45)-4&lt;BB_Periods, "", AVERAGE(INDIRECT(ADDRESS(ROW($F45)-RSI_Periods +1, MATCH("Adj Close", Price_Header,0))): INDIRECT(ADDRESS(ROW($F45),MATCH("Adj Close", Price_Header,0)))))</f>
        <v>119.29142857142855</v>
      </c>
      <c r="K45" s="48">
        <f ca="1">IF(tbl_IBM[[#This Row],[BB_Mean]]="", "", tbl_IBM[[#This Row],[BB_Mean]]+(BB_Width*tbl_IBM[[#This Row],[BB_Stdev]]))</f>
        <v>122.74036916366717</v>
      </c>
      <c r="L45" s="48">
        <f ca="1">IF(tbl_IBM[[#This Row],[BB_Mean]]="", "", tbl_IBM[[#This Row],[BB_Mean]]-(BB_Width*tbl_IBM[[#This Row],[BB_Stdev]]))</f>
        <v>115.84248797918994</v>
      </c>
      <c r="M45" s="46">
        <f>IF(ROW(tbl_IBM[[#This Row],[Adj Close]])=5, 0, $F45-$F44)</f>
        <v>-3.9999999999992042E-2</v>
      </c>
      <c r="N45" s="46">
        <f>MAX(tbl_IBM[[#This Row],[Move]],0)</f>
        <v>0</v>
      </c>
      <c r="O45" s="46">
        <f>MAX(-tbl_IBM[[#This Row],[Move]],0)</f>
        <v>3.9999999999992042E-2</v>
      </c>
      <c r="P45" s="46">
        <f ca="1">IF(ROW($N45)-5&lt;RSI_Periods, "", AVERAGE(INDIRECT(ADDRESS(ROW($N45)-RSI_Periods +1, MATCH("Upmove", Price_Header,0))): INDIRECT(ADDRESS(ROW($N45),MATCH("Upmove", Price_Header,0)))))</f>
        <v>0.47714285714285765</v>
      </c>
      <c r="Q45" s="46">
        <f ca="1">IF(ROW($O45)-5&lt;RSI_Periods, "", AVERAGE(INDIRECT(ADDRESS(ROW($O45)-RSI_Periods +1, MATCH("Downmove", Price_Header,0))): INDIRECT(ADDRESS(ROW($O45),MATCH("Downmove", Price_Header,0)))))</f>
        <v>0.63500000000000001</v>
      </c>
      <c r="R45" s="46">
        <f ca="1">IF(tbl_IBM[[#This Row],[Avg_Upmove]]="", "", tbl_IBM[[#This Row],[Avg_Upmove]]/tbl_IBM[[#This Row],[Avg_Downmove]])</f>
        <v>0.7514060742407207</v>
      </c>
      <c r="S45" s="48">
        <f ca="1">IF(ROW($N45)-4&lt;BB_Periods, "", _xlfn.STDEV.S(INDIRECT(ADDRESS(ROW($F45)-RSI_Periods +1, MATCH("Adj Close", Price_Header,0))): INDIRECT(ADDRESS(ROW($F45),MATCH("Adj Close", Price_Header,0)))))</f>
        <v>1.7244702961193039</v>
      </c>
    </row>
    <row r="46" spans="1:19" x14ac:dyDescent="0.35">
      <c r="A46" s="8">
        <v>44111</v>
      </c>
      <c r="B46" s="48">
        <v>122.67</v>
      </c>
      <c r="C46" s="48">
        <v>124.39</v>
      </c>
      <c r="D46" s="48">
        <v>122.32</v>
      </c>
      <c r="E46" s="48">
        <v>124.07</v>
      </c>
      <c r="F46" s="48">
        <v>122.3</v>
      </c>
      <c r="G46">
        <v>2815400</v>
      </c>
      <c r="H46" s="48">
        <f>IF(tbl_IBM[[#This Row],[Date]]=$A$5, $F46, EMA_Beta*$H45 + (1-EMA_Beta)*$F46)</f>
        <v>120.11055371589441</v>
      </c>
      <c r="I46" s="46">
        <f ca="1">IF(tbl_IBM[[#This Row],[RS]]= "", "", 100-(100/(1+tbl_IBM[[#This Row],[RS]])))</f>
        <v>47.551622418879063</v>
      </c>
      <c r="J46" s="48">
        <f ca="1">IF(ROW($N46)-4&lt;BB_Periods, "", AVERAGE(INDIRECT(ADDRESS(ROW($F46)-RSI_Periods +1, MATCH("Adj Close", Price_Header,0))): INDIRECT(ADDRESS(ROW($F46),MATCH("Adj Close", Price_Header,0)))))</f>
        <v>119.23214285714285</v>
      </c>
      <c r="K46" s="48">
        <f ca="1">IF(tbl_IBM[[#This Row],[BB_Mean]]="", "", tbl_IBM[[#This Row],[BB_Mean]]+(BB_Width*tbl_IBM[[#This Row],[BB_Stdev]]))</f>
        <v>122.41512818610614</v>
      </c>
      <c r="L46" s="48">
        <f ca="1">IF(tbl_IBM[[#This Row],[BB_Mean]]="", "", tbl_IBM[[#This Row],[BB_Mean]]-(BB_Width*tbl_IBM[[#This Row],[BB_Stdev]]))</f>
        <v>116.04915752817955</v>
      </c>
      <c r="M46" s="46">
        <f>IF(ROW(tbl_IBM[[#This Row],[Adj Close]])=5, 0, $F46-$F45)</f>
        <v>2.0699999999999932</v>
      </c>
      <c r="N46" s="46">
        <f>MAX(tbl_IBM[[#This Row],[Move]],0)</f>
        <v>2.0699999999999932</v>
      </c>
      <c r="O46" s="46">
        <f>MAX(-tbl_IBM[[#This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0.57571428571428584</v>
      </c>
      <c r="Q46" s="46">
        <f ca="1">IF(ROW($O46)-5&lt;RSI_Periods, "", AVERAGE(INDIRECT(ADDRESS(ROW($O46)-RSI_Periods +1, MATCH("Downmove", Price_Header,0))): INDIRECT(ADDRESS(ROW($O46),MATCH("Downmove", Price_Header,0)))))</f>
        <v>0.63500000000000001</v>
      </c>
      <c r="R46" s="46">
        <f ca="1">IF(tbl_IBM[[#This Row],[Avg_Upmove]]="", "", tbl_IBM[[#This Row],[Avg_Upmove]]/tbl_IBM[[#This Row],[Avg_Downmove]])</f>
        <v>0.90663667041619822</v>
      </c>
      <c r="S46" s="48">
        <f ca="1">IF(ROW($N46)-4&lt;BB_Periods, "", _xlfn.STDEV.S(INDIRECT(ADDRESS(ROW($F46)-RSI_Periods +1, MATCH("Adj Close", Price_Header,0))): INDIRECT(ADDRESS(ROW($F46),MATCH("Adj Close", Price_Header,0)))))</f>
        <v>1.5914926644816494</v>
      </c>
    </row>
    <row r="47" spans="1:19" x14ac:dyDescent="0.35">
      <c r="A47" s="8">
        <v>44112</v>
      </c>
      <c r="B47" s="48">
        <v>130.86000000000001</v>
      </c>
      <c r="C47" s="48">
        <v>135.5</v>
      </c>
      <c r="D47" s="48">
        <v>129.77000000000001</v>
      </c>
      <c r="E47" s="48">
        <v>131.49</v>
      </c>
      <c r="F47" s="48">
        <v>129.61000000000001</v>
      </c>
      <c r="G47">
        <v>25288900</v>
      </c>
      <c r="H47" s="48">
        <f>IF(tbl_IBM[[#This Row],[Date]]=$A$5, $F47, EMA_Beta*$H46 + (1-EMA_Beta)*$F47)</f>
        <v>121.06049834430497</v>
      </c>
      <c r="I47" s="46">
        <f ca="1">IF(tbl_IBM[[#This Row],[RS]]= "", "", 100-(100/(1+tbl_IBM[[#This Row],[RS]])))</f>
        <v>69.421860885275507</v>
      </c>
      <c r="J47" s="48">
        <f ca="1">IF(ROW($N47)-4&lt;BB_Periods, "", AVERAGE(INDIRECT(ADDRESS(ROW($F47)-RSI_Periods +1, MATCH("Adj Close", Price_Header,0))): INDIRECT(ADDRESS(ROW($F47),MATCH("Adj Close", Price_Header,0)))))</f>
        <v>119.84642857142856</v>
      </c>
      <c r="K47" s="48">
        <f ca="1">IF(tbl_IBM[[#This Row],[BB_Mean]]="", "", tbl_IBM[[#This Row],[BB_Mean]]+(BB_Width*tbl_IBM[[#This Row],[BB_Stdev]]))</f>
        <v>126.22387251150293</v>
      </c>
      <c r="L47" s="48">
        <f ca="1">IF(tbl_IBM[[#This Row],[BB_Mean]]="", "", tbl_IBM[[#This Row],[BB_Mean]]-(BB_Width*tbl_IBM[[#This Row],[BB_Stdev]]))</f>
        <v>113.46898463135419</v>
      </c>
      <c r="M47" s="46">
        <f>IF(ROW(tbl_IBM[[#This Row],[Adj Close]])=5, 0, $F47-$F46)</f>
        <v>7.3100000000000165</v>
      </c>
      <c r="N47" s="46">
        <f>MAX(tbl_IBM[[#This Row],[Move]],0)</f>
        <v>7.3100000000000165</v>
      </c>
      <c r="O47" s="46">
        <f>MAX(-tbl_IBM[[#This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1.0978571428571442</v>
      </c>
      <c r="Q47" s="46">
        <f ca="1">IF(ROW($O47)-5&lt;RSI_Periods, "", AVERAGE(INDIRECT(ADDRESS(ROW($O47)-RSI_Periods +1, MATCH("Downmove", Price_Header,0))): INDIRECT(ADDRESS(ROW($O47),MATCH("Downmove", Price_Header,0)))))</f>
        <v>0.48357142857142932</v>
      </c>
      <c r="R47" s="46">
        <f ca="1">IF(tbl_IBM[[#This Row],[Avg_Upmove]]="", "", tbl_IBM[[#This Row],[Avg_Upmove]]/tbl_IBM[[#This Row],[Avg_Downmove]])</f>
        <v>2.2703101920236328</v>
      </c>
      <c r="S47" s="48">
        <f ca="1">IF(ROW($N47)-4&lt;BB_Periods, "", _xlfn.STDEV.S(INDIRECT(ADDRESS(ROW($F47)-RSI_Periods +1, MATCH("Adj Close", Price_Header,0))): INDIRECT(ADDRESS(ROW($F47),MATCH("Adj Close", Price_Header,0)))))</f>
        <v>3.1887219700371841</v>
      </c>
    </row>
    <row r="48" spans="1:19" x14ac:dyDescent="0.35">
      <c r="A48" s="8">
        <v>44113</v>
      </c>
      <c r="B48" s="48">
        <v>132</v>
      </c>
      <c r="C48" s="48">
        <v>132</v>
      </c>
      <c r="D48" s="48">
        <v>127.6</v>
      </c>
      <c r="E48" s="48">
        <v>127.79</v>
      </c>
      <c r="F48" s="48">
        <v>125.96</v>
      </c>
      <c r="G48">
        <v>8347800</v>
      </c>
      <c r="H48" s="48">
        <f>IF(tbl_IBM[[#This Row],[Date]]=$A$5, $F48, EMA_Beta*$H47 + (1-EMA_Beta)*$F48)</f>
        <v>121.55044850987449</v>
      </c>
      <c r="I48" s="46">
        <f ca="1">IF(tbl_IBM[[#This Row],[RS]]= "", "", 100-(100/(1+tbl_IBM[[#This Row],[RS]])))</f>
        <v>65.937365937365882</v>
      </c>
      <c r="J48" s="48">
        <f ca="1">IF(ROW($N48)-4&lt;BB_Periods, "", AVERAGE(INDIRECT(ADDRESS(ROW($F48)-RSI_Periods +1, MATCH("Adj Close", Price_Header,0))): INDIRECT(ADDRESS(ROW($F48),MATCH("Adj Close", Price_Header,0)))))</f>
        <v>120.37714285714287</v>
      </c>
      <c r="K48" s="48">
        <f ca="1">IF(tbl_IBM[[#This Row],[BB_Mean]]="", "", tbl_IBM[[#This Row],[BB_Mean]]+(BB_Width*tbl_IBM[[#This Row],[BB_Stdev]]))</f>
        <v>127.47823455467103</v>
      </c>
      <c r="L48" s="48">
        <f ca="1">IF(tbl_IBM[[#This Row],[BB_Mean]]="", "", tbl_IBM[[#This Row],[BB_Mean]]-(BB_Width*tbl_IBM[[#This Row],[BB_Stdev]]))</f>
        <v>113.27605115961471</v>
      </c>
      <c r="M48" s="46">
        <f>IF(ROW(tbl_IBM[[#This Row],[Adj Close]])=5, 0, $F48-$F47)</f>
        <v>-3.6500000000000199</v>
      </c>
      <c r="N48" s="46">
        <f>MAX(tbl_IBM[[#This Row],[Move]],0)</f>
        <v>0</v>
      </c>
      <c r="O48" s="46">
        <f>MAX(-tbl_IBM[[#This Row],[Move]],0)</f>
        <v>3.6500000000000199</v>
      </c>
      <c r="P48" s="46">
        <f ca="1">IF(ROW($N48)-5&lt;RSI_Periods, "", AVERAGE(INDIRECT(ADDRESS(ROW($N48)-RSI_Periods +1, MATCH("Upmove", Price_Header,0))): INDIRECT(ADDRESS(ROW($N48),MATCH("Upmove", Price_Header,0)))))</f>
        <v>1.0978571428571442</v>
      </c>
      <c r="Q48" s="46">
        <f ca="1">IF(ROW($O48)-5&lt;RSI_Periods, "", AVERAGE(INDIRECT(ADDRESS(ROW($O48)-RSI_Periods +1, MATCH("Downmove", Price_Header,0))): INDIRECT(ADDRESS(ROW($O48),MATCH("Downmove", Price_Header,0)))))</f>
        <v>0.56714285714285906</v>
      </c>
      <c r="R48" s="46">
        <f ca="1">IF(tbl_IBM[[#This Row],[Avg_Upmove]]="", "", tbl_IBM[[#This Row],[Avg_Upmove]]/tbl_IBM[[#This Row],[Avg_Downmove]])</f>
        <v>1.9357682619647314</v>
      </c>
      <c r="S48" s="48">
        <f ca="1">IF(ROW($N48)-4&lt;BB_Periods, "", _xlfn.STDEV.S(INDIRECT(ADDRESS(ROW($F48)-RSI_Periods +1, MATCH("Adj Close", Price_Header,0))): INDIRECT(ADDRESS(ROW($F48),MATCH("Adj Close", Price_Header,0)))))</f>
        <v>3.5505458487640791</v>
      </c>
    </row>
    <row r="49" spans="1:19" x14ac:dyDescent="0.35">
      <c r="A49" s="8">
        <v>44116</v>
      </c>
      <c r="B49" s="48">
        <v>128.07</v>
      </c>
      <c r="C49" s="48">
        <v>128.25</v>
      </c>
      <c r="D49" s="48">
        <v>126.44</v>
      </c>
      <c r="E49" s="48">
        <v>127.21</v>
      </c>
      <c r="F49" s="48">
        <v>125.39</v>
      </c>
      <c r="G49">
        <v>4635100</v>
      </c>
      <c r="H49" s="48">
        <f>IF(tbl_IBM[[#This Row],[Date]]=$A$5, $F49, EMA_Beta*$H48 + (1-EMA_Beta)*$F49)</f>
        <v>121.93440365888704</v>
      </c>
      <c r="I49" s="46">
        <f ca="1">IF(tbl_IBM[[#This Row],[RS]]= "", "", 100-(100/(1+tbl_IBM[[#This Row],[RS]])))</f>
        <v>63.971210838272619</v>
      </c>
      <c r="J49" s="48">
        <f ca="1">IF(ROW($N49)-4&lt;BB_Periods, "", AVERAGE(INDIRECT(ADDRESS(ROW($F49)-RSI_Periods +1, MATCH("Adj Close", Price_Header,0))): INDIRECT(ADDRESS(ROW($F49),MATCH("Adj Close", Price_Header,0)))))</f>
        <v>120.84857142857145</v>
      </c>
      <c r="K49" s="48">
        <f ca="1">IF(tbl_IBM[[#This Row],[BB_Mean]]="", "", tbl_IBM[[#This Row],[BB_Mean]]+(BB_Width*tbl_IBM[[#This Row],[BB_Stdev]]))</f>
        <v>128.36022742603137</v>
      </c>
      <c r="L49" s="48">
        <f ca="1">IF(tbl_IBM[[#This Row],[BB_Mean]]="", "", tbl_IBM[[#This Row],[BB_Mean]]-(BB_Width*tbl_IBM[[#This Row],[BB_Stdev]]))</f>
        <v>113.33691543111151</v>
      </c>
      <c r="M49" s="46">
        <f>IF(ROW(tbl_IBM[[#This Row],[Adj Close]])=5, 0, $F49-$F48)</f>
        <v>-0.56999999999999318</v>
      </c>
      <c r="N49" s="46">
        <f>MAX(tbl_IBM[[#This Row],[Move]],0)</f>
        <v>0</v>
      </c>
      <c r="O49" s="46">
        <f>MAX(-tbl_IBM[[#This Row],[Move]],0)</f>
        <v>0.56999999999999318</v>
      </c>
      <c r="P49" s="46">
        <f ca="1">IF(ROW($N49)-5&lt;RSI_Periods, "", AVERAGE(INDIRECT(ADDRESS(ROW($N49)-RSI_Periods +1, MATCH("Upmove", Price_Header,0))): INDIRECT(ADDRESS(ROW($N49),MATCH("Upmove", Price_Header,0)))))</f>
        <v>1.0792857142857153</v>
      </c>
      <c r="Q49" s="46">
        <f ca="1">IF(ROW($O49)-5&lt;RSI_Periods, "", AVERAGE(INDIRECT(ADDRESS(ROW($O49)-RSI_Periods +1, MATCH("Downmove", Price_Header,0))): INDIRECT(ADDRESS(ROW($O49),MATCH("Downmove", Price_Header,0)))))</f>
        <v>0.60785714285714421</v>
      </c>
      <c r="R49" s="46">
        <f ca="1">IF(tbl_IBM[[#This Row],[Avg_Upmove]]="", "", tbl_IBM[[#This Row],[Avg_Upmove]]/tbl_IBM[[#This Row],[Avg_Downmove]])</f>
        <v>1.7755581668625124</v>
      </c>
      <c r="S49" s="48">
        <f ca="1">IF(ROW($N49)-4&lt;BB_Periods, "", _xlfn.STDEV.S(INDIRECT(ADDRESS(ROW($F49)-RSI_Periods +1, MATCH("Adj Close", Price_Header,0))): INDIRECT(ADDRESS(ROW($F49),MATCH("Adj Close", Price_Header,0)))))</f>
        <v>3.7558279987299699</v>
      </c>
    </row>
    <row r="50" spans="1:19" x14ac:dyDescent="0.35">
      <c r="A50" s="8">
        <v>44117</v>
      </c>
      <c r="B50" s="48">
        <v>126.57</v>
      </c>
      <c r="C50" s="48">
        <v>127.15</v>
      </c>
      <c r="D50" s="48">
        <v>124.46</v>
      </c>
      <c r="E50" s="48">
        <v>125.1</v>
      </c>
      <c r="F50" s="48">
        <v>123.31</v>
      </c>
      <c r="G50">
        <v>5406100</v>
      </c>
      <c r="H50" s="48">
        <f>IF(tbl_IBM[[#This Row],[Date]]=$A$5, $F50, EMA_Beta*$H49 + (1-EMA_Beta)*$F50)</f>
        <v>122.07196329299833</v>
      </c>
      <c r="I50" s="46">
        <f ca="1">IF(tbl_IBM[[#This Row],[RS]]= "", "", 100-(100/(1+tbl_IBM[[#This Row],[RS]])))</f>
        <v>62.85357737104826</v>
      </c>
      <c r="J50" s="48">
        <f ca="1">IF(ROW($N50)-4&lt;BB_Periods, "", AVERAGE(INDIRECT(ADDRESS(ROW($F50)-RSI_Periods +1, MATCH("Adj Close", Price_Header,0))): INDIRECT(ADDRESS(ROW($F50),MATCH("Adj Close", Price_Header,0)))))</f>
        <v>121.29</v>
      </c>
      <c r="K50" s="48">
        <f ca="1">IF(tbl_IBM[[#This Row],[BB_Mean]]="", "", tbl_IBM[[#This Row],[BB_Mean]]+(BB_Width*tbl_IBM[[#This Row],[BB_Stdev]]))</f>
        <v>128.5834955215642</v>
      </c>
      <c r="L50" s="48">
        <f ca="1">IF(tbl_IBM[[#This Row],[BB_Mean]]="", "", tbl_IBM[[#This Row],[BB_Mean]]-(BB_Width*tbl_IBM[[#This Row],[BB_Stdev]]))</f>
        <v>113.99650447843581</v>
      </c>
      <c r="M50" s="46">
        <f>IF(ROW(tbl_IBM[[#This Row],[Adj Close]])=5, 0, $F50-$F49)</f>
        <v>-2.0799999999999983</v>
      </c>
      <c r="N50" s="46">
        <f>MAX(tbl_IBM[[#This Row],[Move]],0)</f>
        <v>0</v>
      </c>
      <c r="O50" s="46">
        <f>MAX(-tbl_IBM[[#This Row],[Move]],0)</f>
        <v>2.0799999999999983</v>
      </c>
      <c r="P50" s="46">
        <f ca="1">IF(ROW($N50)-5&lt;RSI_Periods, "", AVERAGE(INDIRECT(ADDRESS(ROW($N50)-RSI_Periods +1, MATCH("Upmove", Price_Header,0))): INDIRECT(ADDRESS(ROW($N50),MATCH("Upmove", Price_Header,0)))))</f>
        <v>1.0792857142857153</v>
      </c>
      <c r="Q50" s="46">
        <f ca="1">IF(ROW($O50)-5&lt;RSI_Periods, "", AVERAGE(INDIRECT(ADDRESS(ROW($O50)-RSI_Periods +1, MATCH("Downmove", Price_Header,0))): INDIRECT(ADDRESS(ROW($O50),MATCH("Downmove", Price_Header,0)))))</f>
        <v>0.63785714285714334</v>
      </c>
      <c r="R50" s="46">
        <f ca="1">IF(tbl_IBM[[#This Row],[Avg_Upmove]]="", "", tbl_IBM[[#This Row],[Avg_Upmove]]/tbl_IBM[[#This Row],[Avg_Downmove]])</f>
        <v>1.6920492721164617</v>
      </c>
      <c r="S50" s="48">
        <f ca="1">IF(ROW($N50)-4&lt;BB_Periods, "", _xlfn.STDEV.S(INDIRECT(ADDRESS(ROW($F50)-RSI_Periods +1, MATCH("Adj Close", Price_Header,0))): INDIRECT(ADDRESS(ROW($F50),MATCH("Adj Close", Price_Header,0)))))</f>
        <v>3.6467477607820973</v>
      </c>
    </row>
    <row r="51" spans="1:19" x14ac:dyDescent="0.35">
      <c r="A51" s="8">
        <v>44118</v>
      </c>
      <c r="B51" s="48">
        <v>125.13</v>
      </c>
      <c r="C51" s="48">
        <v>126.94</v>
      </c>
      <c r="D51" s="48">
        <v>125.13</v>
      </c>
      <c r="E51" s="48">
        <v>125.94</v>
      </c>
      <c r="F51" s="48">
        <v>124.14</v>
      </c>
      <c r="G51">
        <v>3730100</v>
      </c>
      <c r="H51" s="48">
        <f>IF(tbl_IBM[[#This Row],[Date]]=$A$5, $F51, EMA_Beta*$H50 + (1-EMA_Beta)*$F51)</f>
        <v>122.2787669636985</v>
      </c>
      <c r="I51" s="46">
        <f ca="1">IF(tbl_IBM[[#This Row],[RS]]= "", "", 100-(100/(1+tbl_IBM[[#This Row],[RS]])))</f>
        <v>66.031483015741486</v>
      </c>
      <c r="J51" s="48">
        <f ca="1">IF(ROW($N51)-4&lt;BB_Periods, "", AVERAGE(INDIRECT(ADDRESS(ROW($F51)-RSI_Periods +1, MATCH("Adj Close", Price_Header,0))): INDIRECT(ADDRESS(ROW($F51),MATCH("Adj Close", Price_Header,0)))))</f>
        <v>121.84285714285716</v>
      </c>
      <c r="K51" s="48">
        <f ca="1">IF(tbl_IBM[[#This Row],[BB_Mean]]="", "", tbl_IBM[[#This Row],[BB_Mean]]+(BB_Width*tbl_IBM[[#This Row],[BB_Stdev]]))</f>
        <v>128.69997664831192</v>
      </c>
      <c r="L51" s="48">
        <f ca="1">IF(tbl_IBM[[#This Row],[BB_Mean]]="", "", tbl_IBM[[#This Row],[BB_Mean]]-(BB_Width*tbl_IBM[[#This Row],[BB_Stdev]]))</f>
        <v>114.98573763740241</v>
      </c>
      <c r="M51" s="46">
        <f>IF(ROW(tbl_IBM[[#This Row],[Adj Close]])=5, 0, $F51-$F50)</f>
        <v>0.82999999999999829</v>
      </c>
      <c r="N51" s="46">
        <f>MAX(tbl_IBM[[#This Row],[Move]],0)</f>
        <v>0.82999999999999829</v>
      </c>
      <c r="O51" s="46">
        <f>MAX(-tbl_IBM[[#This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1.1385714285714295</v>
      </c>
      <c r="Q51" s="46">
        <f ca="1">IF(ROW($O51)-5&lt;RSI_Periods, "", AVERAGE(INDIRECT(ADDRESS(ROW($O51)-RSI_Periods +1, MATCH("Downmove", Price_Header,0))): INDIRECT(ADDRESS(ROW($O51),MATCH("Downmove", Price_Header,0)))))</f>
        <v>0.58571428571428696</v>
      </c>
      <c r="R51" s="46">
        <f ca="1">IF(tbl_IBM[[#This Row],[Avg_Upmove]]="", "", tbl_IBM[[#This Row],[Avg_Upmove]]/tbl_IBM[[#This Row],[Avg_Downmove]])</f>
        <v>1.9439024390243875</v>
      </c>
      <c r="S51" s="48">
        <f ca="1">IF(ROW($N51)-4&lt;BB_Periods, "", _xlfn.STDEV.S(INDIRECT(ADDRESS(ROW($F51)-RSI_Periods +1, MATCH("Adj Close", Price_Header,0))): INDIRECT(ADDRESS(ROW($F51),MATCH("Adj Close", Price_Header,0)))))</f>
        <v>3.428559752727375</v>
      </c>
    </row>
    <row r="52" spans="1:19" x14ac:dyDescent="0.35">
      <c r="A52" s="8">
        <v>44119</v>
      </c>
      <c r="B52" s="48">
        <v>124.08</v>
      </c>
      <c r="C52" s="48">
        <v>125.22</v>
      </c>
      <c r="D52" s="48">
        <v>123.85</v>
      </c>
      <c r="E52" s="48">
        <v>124.89</v>
      </c>
      <c r="F52" s="48">
        <v>123.1</v>
      </c>
      <c r="G52">
        <v>3385300</v>
      </c>
      <c r="H52" s="48">
        <f>IF(tbl_IBM[[#This Row],[Date]]=$A$5, $F52, EMA_Beta*$H51 + (1-EMA_Beta)*$F52)</f>
        <v>122.36089026732866</v>
      </c>
      <c r="I52" s="46">
        <f ca="1">IF(tbl_IBM[[#This Row],[RS]]= "", "", 100-(100/(1+tbl_IBM[[#This Row],[RS]])))</f>
        <v>62.022194821208359</v>
      </c>
      <c r="J52" s="48">
        <f ca="1">IF(ROW($N52)-4&lt;BB_Periods, "", AVERAGE(INDIRECT(ADDRESS(ROW($F52)-RSI_Periods +1, MATCH("Adj Close", Price_Header,0))): INDIRECT(ADDRESS(ROW($F52),MATCH("Adj Close", Price_Header,0)))))</f>
        <v>122.26071428571429</v>
      </c>
      <c r="K52" s="48">
        <f ca="1">IF(tbl_IBM[[#This Row],[BB_Mean]]="", "", tbl_IBM[[#This Row],[BB_Mean]]+(BB_Width*tbl_IBM[[#This Row],[BB_Stdev]]))</f>
        <v>128.60607947147463</v>
      </c>
      <c r="L52" s="48">
        <f ca="1">IF(tbl_IBM[[#This Row],[BB_Mean]]="", "", tbl_IBM[[#This Row],[BB_Mean]]-(BB_Width*tbl_IBM[[#This Row],[BB_Stdev]]))</f>
        <v>115.91534909995394</v>
      </c>
      <c r="M52" s="46">
        <f>IF(ROW(tbl_IBM[[#This Row],[Adj Close]])=5, 0, $F52-$F51)</f>
        <v>-1.0400000000000063</v>
      </c>
      <c r="N52" s="46">
        <f>MAX(tbl_IBM[[#This Row],[Move]],0)</f>
        <v>0</v>
      </c>
      <c r="O52" s="46">
        <f>MAX(-tbl_IBM[[#This Row],[Move]],0)</f>
        <v>1.0400000000000063</v>
      </c>
      <c r="P52" s="46">
        <f ca="1">IF(ROW($N52)-5&lt;RSI_Periods, "", AVERAGE(INDIRECT(ADDRESS(ROW($N52)-RSI_Periods +1, MATCH("Upmove", Price_Header,0))): INDIRECT(ADDRESS(ROW($N52),MATCH("Upmove", Price_Header,0)))))</f>
        <v>1.0778571428571442</v>
      </c>
      <c r="Q52" s="46">
        <f ca="1">IF(ROW($O52)-5&lt;RSI_Periods, "", AVERAGE(INDIRECT(ADDRESS(ROW($O52)-RSI_Periods +1, MATCH("Downmove", Price_Header,0))): INDIRECT(ADDRESS(ROW($O52),MATCH("Downmove", Price_Header,0)))))</f>
        <v>0.6600000000000017</v>
      </c>
      <c r="R52" s="46">
        <f ca="1">IF(tbl_IBM[[#This Row],[Avg_Upmove]]="", "", tbl_IBM[[#This Row],[Avg_Upmove]]/tbl_IBM[[#This Row],[Avg_Downmove]])</f>
        <v>1.633116883116881</v>
      </c>
      <c r="S52" s="48">
        <f ca="1">IF(ROW($N52)-4&lt;BB_Periods, "", _xlfn.STDEV.S(INDIRECT(ADDRESS(ROW($F52)-RSI_Periods +1, MATCH("Adj Close", Price_Header,0))): INDIRECT(ADDRESS(ROW($F52),MATCH("Adj Close", Price_Header,0)))))</f>
        <v>3.1726825928801725</v>
      </c>
    </row>
    <row r="53" spans="1:19" x14ac:dyDescent="0.35">
      <c r="A53" s="8">
        <v>44120</v>
      </c>
      <c r="B53" s="48">
        <v>125.17</v>
      </c>
      <c r="C53" s="48">
        <v>126.43</v>
      </c>
      <c r="D53" s="48">
        <v>124.66</v>
      </c>
      <c r="E53" s="48">
        <v>125.93</v>
      </c>
      <c r="F53" s="48">
        <v>124.13</v>
      </c>
      <c r="G53">
        <v>4710400</v>
      </c>
      <c r="H53" s="48">
        <f>IF(tbl_IBM[[#This Row],[Date]]=$A$5, $F53, EMA_Beta*$H52 + (1-EMA_Beta)*$F53)</f>
        <v>122.53780124059578</v>
      </c>
      <c r="I53" s="46">
        <f ca="1">IF(tbl_IBM[[#This Row],[RS]]= "", "", 100-(100/(1+tbl_IBM[[#This Row],[RS]])))</f>
        <v>59.151193633952232</v>
      </c>
      <c r="J53" s="48">
        <f ca="1">IF(ROW($N53)-4&lt;BB_Periods, "", AVERAGE(INDIRECT(ADDRESS(ROW($F53)-RSI_Periods +1, MATCH("Adj Close", Price_Header,0))): INDIRECT(ADDRESS(ROW($F53),MATCH("Adj Close", Price_Header,0)))))</f>
        <v>122.55642857142857</v>
      </c>
      <c r="K53" s="48">
        <f ca="1">IF(tbl_IBM[[#This Row],[BB_Mean]]="", "", tbl_IBM[[#This Row],[BB_Mean]]+(BB_Width*tbl_IBM[[#This Row],[BB_Stdev]]))</f>
        <v>128.83142710476758</v>
      </c>
      <c r="L53" s="48">
        <f ca="1">IF(tbl_IBM[[#This Row],[BB_Mean]]="", "", tbl_IBM[[#This Row],[BB_Mean]]-(BB_Width*tbl_IBM[[#This Row],[BB_Stdev]]))</f>
        <v>116.28143003808957</v>
      </c>
      <c r="M53" s="46">
        <f>IF(ROW(tbl_IBM[[#This Row],[Adj Close]])=5, 0, $F53-$F52)</f>
        <v>1.0300000000000011</v>
      </c>
      <c r="N53" s="46">
        <f>MAX(tbl_IBM[[#This Row],[Move]],0)</f>
        <v>1.0300000000000011</v>
      </c>
      <c r="O53" s="46">
        <f>MAX(-tbl_IBM[[#This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0.9557142857142874</v>
      </c>
      <c r="Q53" s="46">
        <f ca="1">IF(ROW($O53)-5&lt;RSI_Periods, "", AVERAGE(INDIRECT(ADDRESS(ROW($O53)-RSI_Periods +1, MATCH("Downmove", Price_Header,0))): INDIRECT(ADDRESS(ROW($O53),MATCH("Downmove", Price_Header,0)))))</f>
        <v>0.6600000000000017</v>
      </c>
      <c r="R53" s="46">
        <f ca="1">IF(tbl_IBM[[#This Row],[Avg_Upmove]]="", "", tbl_IBM[[#This Row],[Avg_Upmove]]/tbl_IBM[[#This Row],[Avg_Downmove]])</f>
        <v>1.4480519480519469</v>
      </c>
      <c r="S53" s="48">
        <f ca="1">IF(ROW($N53)-4&lt;BB_Periods, "", _xlfn.STDEV.S(INDIRECT(ADDRESS(ROW($F53)-RSI_Periods +1, MATCH("Adj Close", Price_Header,0))): INDIRECT(ADDRESS(ROW($F53),MATCH("Adj Close", Price_Header,0)))))</f>
        <v>3.1374992666695021</v>
      </c>
    </row>
    <row r="54" spans="1:19" x14ac:dyDescent="0.35">
      <c r="A54" s="8">
        <v>44123</v>
      </c>
      <c r="B54" s="48">
        <v>126.8</v>
      </c>
      <c r="C54" s="48">
        <v>127.35</v>
      </c>
      <c r="D54" s="48">
        <v>125.08</v>
      </c>
      <c r="E54" s="48">
        <v>125.21</v>
      </c>
      <c r="F54" s="48">
        <v>123.73</v>
      </c>
      <c r="G54">
        <v>5127367</v>
      </c>
      <c r="H54" s="48">
        <f>IF(tbl_IBM[[#This Row],[Date]]=$A$5, $F54, EMA_Beta*$H53 + (1-EMA_Beta)*$F54)</f>
        <v>122.65702111653621</v>
      </c>
      <c r="I54" s="46">
        <f ca="1">IF(tbl_IBM[[#This Row],[RS]]= "", "", 100-(100/(1+tbl_IBM[[#This Row],[RS]])))</f>
        <v>60.161870503597129</v>
      </c>
      <c r="J54" s="48">
        <f ca="1">IF(ROW($N54)-4&lt;BB_Periods, "", AVERAGE(INDIRECT(ADDRESS(ROW($F54)-RSI_Periods +1, MATCH("Adj Close", Price_Header,0))): INDIRECT(ADDRESS(ROW($F54),MATCH("Adj Close", Price_Header,0)))))</f>
        <v>122.87928571428571</v>
      </c>
      <c r="K54" s="48">
        <f ca="1">IF(tbl_IBM[[#This Row],[BB_Mean]]="", "", tbl_IBM[[#This Row],[BB_Mean]]+(BB_Width*tbl_IBM[[#This Row],[BB_Stdev]]))</f>
        <v>128.87133410828622</v>
      </c>
      <c r="L54" s="48">
        <f ca="1">IF(tbl_IBM[[#This Row],[BB_Mean]]="", "", tbl_IBM[[#This Row],[BB_Mean]]-(BB_Width*tbl_IBM[[#This Row],[BB_Stdev]]))</f>
        <v>116.88723732028521</v>
      </c>
      <c r="M54" s="46">
        <f>IF(ROW(tbl_IBM[[#This Row],[Adj Close]])=5, 0, $F54-$F53)</f>
        <v>-0.39999999999999147</v>
      </c>
      <c r="N54" s="46">
        <f>MAX(tbl_IBM[[#This Row],[Move]],0)</f>
        <v>0</v>
      </c>
      <c r="O54" s="46">
        <f>MAX(-tbl_IBM[[#This Row],[Move]],0)</f>
        <v>0.39999999999999147</v>
      </c>
      <c r="P54" s="46">
        <f ca="1">IF(ROW($N54)-5&lt;RSI_Periods, "", AVERAGE(INDIRECT(ADDRESS(ROW($N54)-RSI_Periods +1, MATCH("Upmove", Price_Header,0))): INDIRECT(ADDRESS(ROW($N54),MATCH("Upmove", Price_Header,0)))))</f>
        <v>0.9557142857142874</v>
      </c>
      <c r="Q54" s="46">
        <f ca="1">IF(ROW($O54)-5&lt;RSI_Periods, "", AVERAGE(INDIRECT(ADDRESS(ROW($O54)-RSI_Periods +1, MATCH("Downmove", Price_Header,0))): INDIRECT(ADDRESS(ROW($O54),MATCH("Downmove", Price_Header,0)))))</f>
        <v>0.63285714285714378</v>
      </c>
      <c r="R54" s="46">
        <f ca="1">IF(tbl_IBM[[#This Row],[Avg_Upmove]]="", "", tbl_IBM[[#This Row],[Avg_Upmove]]/tbl_IBM[[#This Row],[Avg_Downmove]])</f>
        <v>1.5101580135440185</v>
      </c>
      <c r="S54" s="48">
        <f ca="1">IF(ROW($N54)-4&lt;BB_Periods, "", _xlfn.STDEV.S(INDIRECT(ADDRESS(ROW($F54)-RSI_Periods +1, MATCH("Adj Close", Price_Header,0))): INDIRECT(ADDRESS(ROW($F54),MATCH("Adj Close", Price_Header,0)))))</f>
        <v>2.9960241970002515</v>
      </c>
    </row>
    <row r="55" spans="1:19" x14ac:dyDescent="0.35">
      <c r="A55" s="8">
        <v>44124</v>
      </c>
      <c r="B55" s="48">
        <v>119.8</v>
      </c>
      <c r="C55" s="48">
        <v>120.15</v>
      </c>
      <c r="D55" s="48">
        <v>116.84</v>
      </c>
      <c r="E55" s="48">
        <v>117.37</v>
      </c>
      <c r="F55" s="48">
        <v>115.69</v>
      </c>
      <c r="G55">
        <v>21501100</v>
      </c>
      <c r="H55" s="48">
        <f>IF(tbl_IBM[[#This Row],[Date]]=$A$5, $F55, EMA_Beta*$H54 + (1-EMA_Beta)*$F55)</f>
        <v>121.96031900488259</v>
      </c>
      <c r="I55" s="46">
        <f ca="1">IF(tbl_IBM[[#This Row],[RS]]= "", "", 100-(100/(1+tbl_IBM[[#This Row],[RS]])))</f>
        <v>42.828146143437067</v>
      </c>
      <c r="J55" s="48">
        <f ca="1">IF(ROW($N55)-4&lt;BB_Periods, "", AVERAGE(INDIRECT(ADDRESS(ROW($F55)-RSI_Periods +1, MATCH("Adj Close", Price_Header,0))): INDIRECT(ADDRESS(ROW($F55),MATCH("Adj Close", Price_Header,0)))))</f>
        <v>122.57642857142858</v>
      </c>
      <c r="K55" s="48">
        <f ca="1">IF(tbl_IBM[[#This Row],[BB_Mean]]="", "", tbl_IBM[[#This Row],[BB_Mean]]+(BB_Width*tbl_IBM[[#This Row],[BB_Stdev]]))</f>
        <v>129.55757948885389</v>
      </c>
      <c r="L55" s="48">
        <f ca="1">IF(tbl_IBM[[#This Row],[BB_Mean]]="", "", tbl_IBM[[#This Row],[BB_Mean]]-(BB_Width*tbl_IBM[[#This Row],[BB_Stdev]]))</f>
        <v>115.59527765400327</v>
      </c>
      <c r="M55" s="46">
        <f>IF(ROW(tbl_IBM[[#This Row],[Adj Close]])=5, 0, $F55-$F54)</f>
        <v>-8.0400000000000063</v>
      </c>
      <c r="N55" s="46">
        <f>MAX(tbl_IBM[[#This Row],[Move]],0)</f>
        <v>0</v>
      </c>
      <c r="O55" s="46">
        <f>MAX(-tbl_IBM[[#This Row],[Move]],0)</f>
        <v>8.0400000000000063</v>
      </c>
      <c r="P55" s="46">
        <f ca="1">IF(ROW($N55)-5&lt;RSI_Periods, "", AVERAGE(INDIRECT(ADDRESS(ROW($N55)-RSI_Periods +1, MATCH("Upmove", Price_Header,0))): INDIRECT(ADDRESS(ROW($N55),MATCH("Upmove", Price_Header,0)))))</f>
        <v>0.90428571428571503</v>
      </c>
      <c r="Q55" s="46">
        <f ca="1">IF(ROW($O55)-5&lt;RSI_Periods, "", AVERAGE(INDIRECT(ADDRESS(ROW($O55)-RSI_Periods +1, MATCH("Downmove", Price_Header,0))): INDIRECT(ADDRESS(ROW($O55),MATCH("Downmove", Price_Header,0)))))</f>
        <v>1.2071428571428586</v>
      </c>
      <c r="R55" s="46">
        <f ca="1">IF(tbl_IBM[[#This Row],[Avg_Upmove]]="", "", tbl_IBM[[#This Row],[Avg_Upmove]]/tbl_IBM[[#This Row],[Avg_Downmove]])</f>
        <v>0.74911242603550265</v>
      </c>
      <c r="S55" s="48">
        <f ca="1">IF(ROW($N55)-4&lt;BB_Periods, "", _xlfn.STDEV.S(INDIRECT(ADDRESS(ROW($F55)-RSI_Periods +1, MATCH("Adj Close", Price_Header,0))): INDIRECT(ADDRESS(ROW($F55),MATCH("Adj Close", Price_Header,0)))))</f>
        <v>3.4905754587126534</v>
      </c>
    </row>
    <row r="56" spans="1:19" x14ac:dyDescent="0.35">
      <c r="A56" s="8">
        <v>44125</v>
      </c>
      <c r="B56" s="48">
        <v>116.66</v>
      </c>
      <c r="C56" s="48">
        <v>117.69</v>
      </c>
      <c r="D56" s="48">
        <v>114.79</v>
      </c>
      <c r="E56" s="48">
        <v>115.06</v>
      </c>
      <c r="F56" s="48">
        <v>113.42</v>
      </c>
      <c r="G56">
        <v>9755300</v>
      </c>
      <c r="H56" s="48">
        <f>IF(tbl_IBM[[#This Row],[Date]]=$A$5, $F56, EMA_Beta*$H55 + (1-EMA_Beta)*$F56)</f>
        <v>121.10628710439434</v>
      </c>
      <c r="I56" s="46">
        <f ca="1">IF(tbl_IBM[[#This Row],[RS]]= "", "", 100-(100/(1+tbl_IBM[[#This Row],[RS]])))</f>
        <v>40.499040307101737</v>
      </c>
      <c r="J56" s="48">
        <f ca="1">IF(ROW($N56)-4&lt;BB_Periods, "", AVERAGE(INDIRECT(ADDRESS(ROW($F56)-RSI_Periods +1, MATCH("Adj Close", Price_Header,0))): INDIRECT(ADDRESS(ROW($F56),MATCH("Adj Close", Price_Header,0)))))</f>
        <v>122.15214285714286</v>
      </c>
      <c r="K56" s="48">
        <f ca="1">IF(tbl_IBM[[#This Row],[BB_Mean]]="", "", tbl_IBM[[#This Row],[BB_Mean]]+(BB_Width*tbl_IBM[[#This Row],[BB_Stdev]]))</f>
        <v>130.55302258606295</v>
      </c>
      <c r="L56" s="48">
        <f ca="1">IF(tbl_IBM[[#This Row],[BB_Mean]]="", "", tbl_IBM[[#This Row],[BB_Mean]]-(BB_Width*tbl_IBM[[#This Row],[BB_Stdev]]))</f>
        <v>113.75126312822279</v>
      </c>
      <c r="M56" s="46">
        <f>IF(ROW(tbl_IBM[[#This Row],[Adj Close]])=5, 0, $F56-$F55)</f>
        <v>-2.269999999999996</v>
      </c>
      <c r="N56" s="46">
        <f>MAX(tbl_IBM[[#This Row],[Move]],0)</f>
        <v>0</v>
      </c>
      <c r="O56" s="46">
        <f>MAX(-tbl_IBM[[#This Row],[Move]],0)</f>
        <v>2.269999999999996</v>
      </c>
      <c r="P56" s="46">
        <f ca="1">IF(ROW($N56)-5&lt;RSI_Periods, "", AVERAGE(INDIRECT(ADDRESS(ROW($N56)-RSI_Periods +1, MATCH("Upmove", Price_Header,0))): INDIRECT(ADDRESS(ROW($N56),MATCH("Upmove", Price_Header,0)))))</f>
        <v>0.90428571428571503</v>
      </c>
      <c r="Q56" s="46">
        <f ca="1">IF(ROW($O56)-5&lt;RSI_Periods, "", AVERAGE(INDIRECT(ADDRESS(ROW($O56)-RSI_Periods +1, MATCH("Downmove", Price_Header,0))): INDIRECT(ADDRESS(ROW($O56),MATCH("Downmove", Price_Header,0)))))</f>
        <v>1.3285714285714292</v>
      </c>
      <c r="R56" s="46">
        <f ca="1">IF(tbl_IBM[[#This Row],[Avg_Upmove]]="", "", tbl_IBM[[#This Row],[Avg_Upmove]]/tbl_IBM[[#This Row],[Avg_Downmove]])</f>
        <v>0.68064516129032282</v>
      </c>
      <c r="S56" s="48">
        <f ca="1">IF(ROW($N56)-4&lt;BB_Periods, "", _xlfn.STDEV.S(INDIRECT(ADDRESS(ROW($F56)-RSI_Periods +1, MATCH("Adj Close", Price_Header,0))): INDIRECT(ADDRESS(ROW($F56),MATCH("Adj Close", Price_Header,0)))))</f>
        <v>4.2004398644600389</v>
      </c>
    </row>
    <row r="57" spans="1:19" x14ac:dyDescent="0.35">
      <c r="A57" s="8">
        <v>44126</v>
      </c>
      <c r="B57" s="48">
        <v>115</v>
      </c>
      <c r="C57" s="48">
        <v>116.06</v>
      </c>
      <c r="D57" s="48">
        <v>112.98</v>
      </c>
      <c r="E57" s="48">
        <v>115.76</v>
      </c>
      <c r="F57" s="48">
        <v>114.11</v>
      </c>
      <c r="G57">
        <v>7855800</v>
      </c>
      <c r="H57" s="48">
        <f>IF(tbl_IBM[[#This Row],[Date]]=$A$5, $F57, EMA_Beta*$H56 + (1-EMA_Beta)*$F57)</f>
        <v>120.40665839395491</v>
      </c>
      <c r="I57" s="46">
        <f ca="1">IF(tbl_IBM[[#This Row],[RS]]= "", "", 100-(100/(1+tbl_IBM[[#This Row],[RS]])))</f>
        <v>42.461832061068712</v>
      </c>
      <c r="J57" s="48">
        <f ca="1">IF(ROW($N57)-4&lt;BB_Periods, "", AVERAGE(INDIRECT(ADDRESS(ROW($F57)-RSI_Periods +1, MATCH("Adj Close", Price_Header,0))): INDIRECT(ADDRESS(ROW($F57),MATCH("Adj Close", Price_Header,0)))))</f>
        <v>121.81357142857144</v>
      </c>
      <c r="K57" s="48">
        <f ca="1">IF(tbl_IBM[[#This Row],[BB_Mean]]="", "", tbl_IBM[[#This Row],[BB_Mean]]+(BB_Width*tbl_IBM[[#This Row],[BB_Stdev]]))</f>
        <v>131.1208906564045</v>
      </c>
      <c r="L57" s="48">
        <f ca="1">IF(tbl_IBM[[#This Row],[BB_Mean]]="", "", tbl_IBM[[#This Row],[BB_Mean]]-(BB_Width*tbl_IBM[[#This Row],[BB_Stdev]]))</f>
        <v>112.50625220073836</v>
      </c>
      <c r="M57" s="46">
        <f>IF(ROW(tbl_IBM[[#This Row],[Adj Close]])=5, 0, $F57-$F56)</f>
        <v>0.68999999999999773</v>
      </c>
      <c r="N57" s="46">
        <f>MAX(tbl_IBM[[#This Row],[Move]],0)</f>
        <v>0.68999999999999773</v>
      </c>
      <c r="O57" s="46">
        <f>MAX(-tbl_IBM[[#This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0.95357142857142918</v>
      </c>
      <c r="Q57" s="46">
        <f ca="1">IF(ROW($O57)-5&lt;RSI_Periods, "", AVERAGE(INDIRECT(ADDRESS(ROW($O57)-RSI_Periods +1, MATCH("Downmove", Price_Header,0))): INDIRECT(ADDRESS(ROW($O57),MATCH("Downmove", Price_Header,0)))))</f>
        <v>1.2921428571428575</v>
      </c>
      <c r="R57" s="46">
        <f ca="1">IF(tbl_IBM[[#This Row],[Avg_Upmove]]="", "", tbl_IBM[[#This Row],[Avg_Upmove]]/tbl_IBM[[#This Row],[Avg_Downmove]])</f>
        <v>0.73797678275290246</v>
      </c>
      <c r="S57" s="48">
        <f ca="1">IF(ROW($N57)-4&lt;BB_Periods, "", _xlfn.STDEV.S(INDIRECT(ADDRESS(ROW($F57)-RSI_Periods +1, MATCH("Adj Close", Price_Header,0))): INDIRECT(ADDRESS(ROW($F57),MATCH("Adj Close", Price_Header,0)))))</f>
        <v>4.6536596139165374</v>
      </c>
    </row>
    <row r="58" spans="1:19" x14ac:dyDescent="0.35">
      <c r="A58" s="8">
        <v>44127</v>
      </c>
      <c r="B58" s="48">
        <v>116.5</v>
      </c>
      <c r="C58" s="48">
        <v>116.62</v>
      </c>
      <c r="D58" s="48">
        <v>115.53</v>
      </c>
      <c r="E58" s="48">
        <v>116</v>
      </c>
      <c r="F58" s="48">
        <v>114.34</v>
      </c>
      <c r="G58">
        <v>3893400</v>
      </c>
      <c r="H58" s="48">
        <f>IF(tbl_IBM[[#This Row],[Date]]=$A$5, $F58, EMA_Beta*$H57 + (1-EMA_Beta)*$F58)</f>
        <v>119.79999255455942</v>
      </c>
      <c r="I58" s="46">
        <f ca="1">IF(tbl_IBM[[#This Row],[RS]]= "", "", 100-(100/(1+tbl_IBM[[#This Row],[RS]])))</f>
        <v>40.198347107438032</v>
      </c>
      <c r="J58" s="48">
        <f ca="1">IF(ROW($N58)-4&lt;BB_Periods, "", AVERAGE(INDIRECT(ADDRESS(ROW($F58)-RSI_Periods +1, MATCH("Adj Close", Price_Header,0))): INDIRECT(ADDRESS(ROW($F58),MATCH("Adj Close", Price_Header,0)))))</f>
        <v>121.39</v>
      </c>
      <c r="K58" s="48">
        <f ca="1">IF(tbl_IBM[[#This Row],[BB_Mean]]="", "", tbl_IBM[[#This Row],[BB_Mean]]+(BB_Width*tbl_IBM[[#This Row],[BB_Stdev]]))</f>
        <v>131.50465045595516</v>
      </c>
      <c r="L58" s="48">
        <f ca="1">IF(tbl_IBM[[#This Row],[BB_Mean]]="", "", tbl_IBM[[#This Row],[BB_Mean]]-(BB_Width*tbl_IBM[[#This Row],[BB_Stdev]]))</f>
        <v>111.27534954404484</v>
      </c>
      <c r="M58" s="46">
        <f>IF(ROW(tbl_IBM[[#This Row],[Adj Close]])=5, 0, $F58-$F57)</f>
        <v>0.23000000000000398</v>
      </c>
      <c r="N58" s="46">
        <f>MAX(tbl_IBM[[#This Row],[Move]],0)</f>
        <v>0.23000000000000398</v>
      </c>
      <c r="O58" s="46">
        <f>MAX(-tbl_IBM[[#This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0.86857142857142933</v>
      </c>
      <c r="Q58" s="46">
        <f ca="1">IF(ROW($O58)-5&lt;RSI_Periods, "", AVERAGE(INDIRECT(ADDRESS(ROW($O58)-RSI_Periods +1, MATCH("Downmove", Price_Header,0))): INDIRECT(ADDRESS(ROW($O58),MATCH("Downmove", Price_Header,0)))))</f>
        <v>1.2921428571428575</v>
      </c>
      <c r="R58" s="46">
        <f ca="1">IF(tbl_IBM[[#This Row],[Avg_Upmove]]="", "", tbl_IBM[[#This Row],[Avg_Upmove]]/tbl_IBM[[#This Row],[Avg_Downmove]])</f>
        <v>0.67219458264234422</v>
      </c>
      <c r="S58" s="48">
        <f ca="1">IF(ROW($N58)-4&lt;BB_Periods, "", _xlfn.STDEV.S(INDIRECT(ADDRESS(ROW($F58)-RSI_Periods +1, MATCH("Adj Close", Price_Header,0))): INDIRECT(ADDRESS(ROW($F58),MATCH("Adj Close", Price_Header,0)))))</f>
        <v>5.0573252279775787</v>
      </c>
    </row>
    <row r="59" spans="1:19" x14ac:dyDescent="0.35">
      <c r="A59" s="8">
        <v>44130</v>
      </c>
      <c r="B59" s="48">
        <v>114.45</v>
      </c>
      <c r="C59" s="48">
        <v>114.9</v>
      </c>
      <c r="D59" s="48">
        <v>111.84</v>
      </c>
      <c r="E59" s="48">
        <v>112.22</v>
      </c>
      <c r="F59" s="48">
        <v>110.62</v>
      </c>
      <c r="G59">
        <v>7203400</v>
      </c>
      <c r="H59" s="48">
        <f>IF(tbl_IBM[[#This Row],[Date]]=$A$5, $F59, EMA_Beta*$H58 + (1-EMA_Beta)*$F59)</f>
        <v>118.88199329910348</v>
      </c>
      <c r="I59" s="46">
        <f ca="1">IF(tbl_IBM[[#This Row],[RS]]= "", "", 100-(100/(1+tbl_IBM[[#This Row],[RS]])))</f>
        <v>35.838491010904818</v>
      </c>
      <c r="J59" s="48">
        <f ca="1">IF(ROW($N59)-4&lt;BB_Periods, "", AVERAGE(INDIRECT(ADDRESS(ROW($F59)-RSI_Periods +1, MATCH("Adj Close", Price_Header,0))): INDIRECT(ADDRESS(ROW($F59),MATCH("Adj Close", Price_Header,0)))))</f>
        <v>120.70357142857142</v>
      </c>
      <c r="K59" s="48">
        <f ca="1">IF(tbl_IBM[[#This Row],[BB_Mean]]="", "", tbl_IBM[[#This Row],[BB_Mean]]+(BB_Width*tbl_IBM[[#This Row],[BB_Stdev]]))</f>
        <v>132.34627427929854</v>
      </c>
      <c r="L59" s="48">
        <f ca="1">IF(tbl_IBM[[#This Row],[BB_Mean]]="", "", tbl_IBM[[#This Row],[BB_Mean]]-(BB_Width*tbl_IBM[[#This Row],[BB_Stdev]]))</f>
        <v>109.06086857784429</v>
      </c>
      <c r="M59" s="46">
        <f>IF(ROW(tbl_IBM[[#This Row],[Adj Close]])=5, 0, $F59-$F58)</f>
        <v>-3.7199999999999989</v>
      </c>
      <c r="N59" s="46">
        <f>MAX(tbl_IBM[[#This Row],[Move]],0)</f>
        <v>0</v>
      </c>
      <c r="O59" s="46">
        <f>MAX(-tbl_IBM[[#This Row],[Move]],0)</f>
        <v>3.7199999999999989</v>
      </c>
      <c r="P59" s="46">
        <f ca="1">IF(ROW($N59)-5&lt;RSI_Periods, "", AVERAGE(INDIRECT(ADDRESS(ROW($N59)-RSI_Periods +1, MATCH("Upmove", Price_Header,0))): INDIRECT(ADDRESS(ROW($N59),MATCH("Upmove", Price_Header,0)))))</f>
        <v>0.86857142857142933</v>
      </c>
      <c r="Q59" s="46">
        <f ca="1">IF(ROW($O59)-5&lt;RSI_Periods, "", AVERAGE(INDIRECT(ADDRESS(ROW($O59)-RSI_Periods +1, MATCH("Downmove", Price_Header,0))): INDIRECT(ADDRESS(ROW($O59),MATCH("Downmove", Price_Header,0)))))</f>
        <v>1.5550000000000008</v>
      </c>
      <c r="R59" s="46">
        <f ca="1">IF(tbl_IBM[[#This Row],[Avg_Upmove]]="", "", tbl_IBM[[#This Row],[Avg_Upmove]]/tbl_IBM[[#This Row],[Avg_Downmove]])</f>
        <v>0.55856683509416649</v>
      </c>
      <c r="S59" s="48">
        <f ca="1">IF(ROW($N59)-4&lt;BB_Periods, "", _xlfn.STDEV.S(INDIRECT(ADDRESS(ROW($F59)-RSI_Periods +1, MATCH("Adj Close", Price_Header,0))): INDIRECT(ADDRESS(ROW($F59),MATCH("Adj Close", Price_Header,0)))))</f>
        <v>5.8213514253635656</v>
      </c>
    </row>
    <row r="60" spans="1:19" x14ac:dyDescent="0.35">
      <c r="A60" s="8">
        <v>44131</v>
      </c>
      <c r="B60" s="48">
        <v>112.15</v>
      </c>
      <c r="C60" s="48">
        <v>112.22</v>
      </c>
      <c r="D60" s="48">
        <v>110.03</v>
      </c>
      <c r="E60" s="48">
        <v>110.56</v>
      </c>
      <c r="F60" s="48">
        <v>108.98</v>
      </c>
      <c r="G60">
        <v>5936100</v>
      </c>
      <c r="H60" s="48">
        <f>IF(tbl_IBM[[#This Row],[Date]]=$A$5, $F60, EMA_Beta*$H59 + (1-EMA_Beta)*$F60)</f>
        <v>117.89179396919313</v>
      </c>
      <c r="I60" s="46">
        <f ca="1">IF(tbl_IBM[[#This Row],[RS]]= "", "", 100-(100/(1+tbl_IBM[[#This Row],[RS]])))</f>
        <v>30.119402985074657</v>
      </c>
      <c r="J60" s="48">
        <f ca="1">IF(ROW($N60)-4&lt;BB_Periods, "", AVERAGE(INDIRECT(ADDRESS(ROW($F60)-RSI_Periods +1, MATCH("Adj Close", Price_Header,0))): INDIRECT(ADDRESS(ROW($F60),MATCH("Adj Close", Price_Header,0)))))</f>
        <v>119.75214285714284</v>
      </c>
      <c r="K60" s="48">
        <f ca="1">IF(tbl_IBM[[#This Row],[BB_Mean]]="", "", tbl_IBM[[#This Row],[BB_Mean]]+(BB_Width*tbl_IBM[[#This Row],[BB_Stdev]]))</f>
        <v>132.91112616734739</v>
      </c>
      <c r="L60" s="48">
        <f ca="1">IF(tbl_IBM[[#This Row],[BB_Mean]]="", "", tbl_IBM[[#This Row],[BB_Mean]]-(BB_Width*tbl_IBM[[#This Row],[BB_Stdev]]))</f>
        <v>106.5931595469383</v>
      </c>
      <c r="M60" s="46">
        <f>IF(ROW(tbl_IBM[[#This Row],[Adj Close]])=5, 0, $F60-$F59)</f>
        <v>-1.6400000000000006</v>
      </c>
      <c r="N60" s="46">
        <f>MAX(tbl_IBM[[#This Row],[Move]],0)</f>
        <v>0</v>
      </c>
      <c r="O60" s="46">
        <f>MAX(-tbl_IBM[[#This Row],[Move]],0)</f>
        <v>1.6400000000000006</v>
      </c>
      <c r="P60" s="46">
        <f ca="1">IF(ROW($N60)-5&lt;RSI_Periods, "", AVERAGE(INDIRECT(ADDRESS(ROW($N60)-RSI_Periods +1, MATCH("Upmove", Price_Header,0))): INDIRECT(ADDRESS(ROW($N60),MATCH("Upmove", Price_Header,0)))))</f>
        <v>0.72071428571428697</v>
      </c>
      <c r="Q60" s="46">
        <f ca="1">IF(ROW($O60)-5&lt;RSI_Periods, "", AVERAGE(INDIRECT(ADDRESS(ROW($O60)-RSI_Periods +1, MATCH("Downmove", Price_Header,0))): INDIRECT(ADDRESS(ROW($O60),MATCH("Downmove", Price_Header,0)))))</f>
        <v>1.6721428571428578</v>
      </c>
      <c r="R60" s="46">
        <f ca="1">IF(tbl_IBM[[#This Row],[Avg_Upmove]]="", "", tbl_IBM[[#This Row],[Avg_Upmove]]/tbl_IBM[[#This Row],[Avg_Downmove]])</f>
        <v>0.43101238786843288</v>
      </c>
      <c r="S60" s="48">
        <f ca="1">IF(ROW($N60)-4&lt;BB_Periods, "", _xlfn.STDEV.S(INDIRECT(ADDRESS(ROW($F60)-RSI_Periods +1, MATCH("Adj Close", Price_Header,0))): INDIRECT(ADDRESS(ROW($F60),MATCH("Adj Close", Price_Header,0)))))</f>
        <v>6.579491655102272</v>
      </c>
    </row>
    <row r="61" spans="1:19" x14ac:dyDescent="0.35">
      <c r="A61" s="8">
        <v>44132</v>
      </c>
      <c r="B61" s="48">
        <v>108.66</v>
      </c>
      <c r="C61" s="48">
        <v>109.73</v>
      </c>
      <c r="D61" s="48">
        <v>105.92</v>
      </c>
      <c r="E61" s="48">
        <v>106.65</v>
      </c>
      <c r="F61" s="48">
        <v>105.13</v>
      </c>
      <c r="G61">
        <v>9427300</v>
      </c>
      <c r="H61" s="48">
        <f>IF(tbl_IBM[[#This Row],[Date]]=$A$5, $F61, EMA_Beta*$H60 + (1-EMA_Beta)*$F61)</f>
        <v>116.61561457227381</v>
      </c>
      <c r="I61" s="46">
        <f ca="1">IF(tbl_IBM[[#This Row],[RS]]= "", "", 100-(100/(1+tbl_IBM[[#This Row],[RS]])))</f>
        <v>9.2543275632490065</v>
      </c>
      <c r="J61" s="48">
        <f ca="1">IF(ROW($N61)-4&lt;BB_Periods, "", AVERAGE(INDIRECT(ADDRESS(ROW($F61)-RSI_Periods +1, MATCH("Adj Close", Price_Header,0))): INDIRECT(ADDRESS(ROW($F61),MATCH("Adj Close", Price_Header,0)))))</f>
        <v>118.00357142857145</v>
      </c>
      <c r="K61" s="48">
        <f ca="1">IF(tbl_IBM[[#This Row],[BB_Mean]]="", "", tbl_IBM[[#This Row],[BB_Mean]]+(BB_Width*tbl_IBM[[#This Row],[BB_Stdev]]))</f>
        <v>131.99907533769633</v>
      </c>
      <c r="L61" s="48">
        <f ca="1">IF(tbl_IBM[[#This Row],[BB_Mean]]="", "", tbl_IBM[[#This Row],[BB_Mean]]-(BB_Width*tbl_IBM[[#This Row],[BB_Stdev]]))</f>
        <v>104.00806751944657</v>
      </c>
      <c r="M61" s="46">
        <f>IF(ROW(tbl_IBM[[#This Row],[Adj Close]])=5, 0, $F61-$F60)</f>
        <v>-3.8500000000000085</v>
      </c>
      <c r="N61" s="46">
        <f>MAX(tbl_IBM[[#This Row],[Move]],0)</f>
        <v>0</v>
      </c>
      <c r="O61" s="46">
        <f>MAX(-tbl_IBM[[#This Row],[Move]],0)</f>
        <v>3.8500000000000085</v>
      </c>
      <c r="P61" s="46">
        <f ca="1">IF(ROW($N61)-5&lt;RSI_Periods, "", AVERAGE(INDIRECT(ADDRESS(ROW($N61)-RSI_Periods +1, MATCH("Upmove", Price_Header,0))): INDIRECT(ADDRESS(ROW($N61),MATCH("Upmove", Price_Header,0)))))</f>
        <v>0.19857142857142865</v>
      </c>
      <c r="Q61" s="46">
        <f ca="1">IF(ROW($O61)-5&lt;RSI_Periods, "", AVERAGE(INDIRECT(ADDRESS(ROW($O61)-RSI_Periods +1, MATCH("Downmove", Price_Header,0))): INDIRECT(ADDRESS(ROW($O61),MATCH("Downmove", Price_Header,0)))))</f>
        <v>1.9471428571428586</v>
      </c>
      <c r="R61" s="46">
        <f ca="1">IF(tbl_IBM[[#This Row],[Avg_Upmove]]="", "", tbl_IBM[[#This Row],[Avg_Upmove]]/tbl_IBM[[#This Row],[Avg_Downmove]])</f>
        <v>0.10198092443140128</v>
      </c>
      <c r="S61" s="48">
        <f ca="1">IF(ROW($N61)-4&lt;BB_Periods, "", _xlfn.STDEV.S(INDIRECT(ADDRESS(ROW($F61)-RSI_Periods +1, MATCH("Adj Close", Price_Header,0))): INDIRECT(ADDRESS(ROW($F61),MATCH("Adj Close", Price_Header,0)))))</f>
        <v>6.9977519545624363</v>
      </c>
    </row>
    <row r="62" spans="1:19" x14ac:dyDescent="0.35">
      <c r="A62" s="8">
        <v>44133</v>
      </c>
      <c r="B62" s="48">
        <v>107.25</v>
      </c>
      <c r="C62" s="48">
        <v>109.64</v>
      </c>
      <c r="D62" s="48">
        <v>106.55</v>
      </c>
      <c r="E62" s="48">
        <v>108.91</v>
      </c>
      <c r="F62" s="48">
        <v>107.35</v>
      </c>
      <c r="G62">
        <v>6760200</v>
      </c>
      <c r="H62" s="48">
        <f>IF(tbl_IBM[[#This Row],[Date]]=$A$5, $F62, EMA_Beta*$H61 + (1-EMA_Beta)*$F62)</f>
        <v>115.68905311504643</v>
      </c>
      <c r="I62" s="46">
        <f ca="1">IF(tbl_IBM[[#This Row],[RS]]= "", "", 100-(100/(1+tbl_IBM[[#This Row],[RS]])))</f>
        <v>17.476406850751488</v>
      </c>
      <c r="J62" s="48">
        <f ca="1">IF(ROW($N62)-4&lt;BB_Periods, "", AVERAGE(INDIRECT(ADDRESS(ROW($F62)-RSI_Periods +1, MATCH("Adj Close", Price_Header,0))): INDIRECT(ADDRESS(ROW($F62),MATCH("Adj Close", Price_Header,0)))))</f>
        <v>116.67428571428572</v>
      </c>
      <c r="K62" s="48">
        <f ca="1">IF(tbl_IBM[[#This Row],[BB_Mean]]="", "", tbl_IBM[[#This Row],[BB_Mean]]+(BB_Width*tbl_IBM[[#This Row],[BB_Stdev]]))</f>
        <v>130.94687097799635</v>
      </c>
      <c r="L62" s="48">
        <f ca="1">IF(tbl_IBM[[#This Row],[BB_Mean]]="", "", tbl_IBM[[#This Row],[BB_Mean]]-(BB_Width*tbl_IBM[[#This Row],[BB_Stdev]]))</f>
        <v>102.40170045057508</v>
      </c>
      <c r="M62" s="46">
        <f>IF(ROW(tbl_IBM[[#This Row],[Adj Close]])=5, 0, $F62-$F61)</f>
        <v>2.2199999999999989</v>
      </c>
      <c r="N62" s="46">
        <f>MAX(tbl_IBM[[#This Row],[Move]],0)</f>
        <v>2.2199999999999989</v>
      </c>
      <c r="O62" s="46">
        <f>MAX(-tbl_IBM[[#This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0.35714285714285715</v>
      </c>
      <c r="Q62" s="46">
        <f ca="1">IF(ROW($O62)-5&lt;RSI_Periods, "", AVERAGE(INDIRECT(ADDRESS(ROW($O62)-RSI_Periods +1, MATCH("Downmove", Price_Header,0))): INDIRECT(ADDRESS(ROW($O62),MATCH("Downmove", Price_Header,0)))))</f>
        <v>1.6864285714285714</v>
      </c>
      <c r="R62" s="46">
        <f ca="1">IF(tbl_IBM[[#This Row],[Avg_Upmove]]="", "", tbl_IBM[[#This Row],[Avg_Upmove]]/tbl_IBM[[#This Row],[Avg_Downmove]])</f>
        <v>0.21177467174925879</v>
      </c>
      <c r="S62" s="48">
        <f ca="1">IF(ROW($N62)-4&lt;BB_Periods, "", _xlfn.STDEV.S(INDIRECT(ADDRESS(ROW($F62)-RSI_Periods +1, MATCH("Adj Close", Price_Header,0))): INDIRECT(ADDRESS(ROW($F62),MATCH("Adj Close", Price_Header,0)))))</f>
        <v>7.1362926318553201</v>
      </c>
    </row>
    <row r="63" spans="1:19" x14ac:dyDescent="0.35">
      <c r="A63" s="8">
        <v>44134</v>
      </c>
      <c r="B63" s="48">
        <v>107.9</v>
      </c>
      <c r="C63" s="48">
        <v>111.8</v>
      </c>
      <c r="D63" s="48">
        <v>107.75</v>
      </c>
      <c r="E63" s="48">
        <v>111.66</v>
      </c>
      <c r="F63" s="48">
        <v>110.06</v>
      </c>
      <c r="G63">
        <v>7921500</v>
      </c>
      <c r="H63" s="48">
        <f>IF(tbl_IBM[[#This Row],[Date]]=$A$5, $F63, EMA_Beta*$H62 + (1-EMA_Beta)*$F63)</f>
        <v>115.1261478035418</v>
      </c>
      <c r="I63" s="46">
        <f ca="1">IF(tbl_IBM[[#This Row],[RS]]= "", "", 100-(100/(1+tbl_IBM[[#This Row],[RS]])))</f>
        <v>25.073170731707336</v>
      </c>
      <c r="J63" s="48">
        <f ca="1">IF(ROW($N63)-4&lt;BB_Periods, "", AVERAGE(INDIRECT(ADDRESS(ROW($F63)-RSI_Periods +1, MATCH("Adj Close", Price_Header,0))): INDIRECT(ADDRESS(ROW($F63),MATCH("Adj Close", Price_Header,0)))))</f>
        <v>115.57928571428569</v>
      </c>
      <c r="K63" s="48">
        <f ca="1">IF(tbl_IBM[[#This Row],[BB_Mean]]="", "", tbl_IBM[[#This Row],[BB_Mean]]+(BB_Width*tbl_IBM[[#This Row],[BB_Stdev]]))</f>
        <v>129.31352695352356</v>
      </c>
      <c r="L63" s="48">
        <f ca="1">IF(tbl_IBM[[#This Row],[BB_Mean]]="", "", tbl_IBM[[#This Row],[BB_Mean]]-(BB_Width*tbl_IBM[[#This Row],[BB_Stdev]]))</f>
        <v>101.84504447504781</v>
      </c>
      <c r="M63" s="46">
        <f>IF(ROW(tbl_IBM[[#This Row],[Adj Close]])=5, 0, $F63-$F62)</f>
        <v>2.710000000000008</v>
      </c>
      <c r="N63" s="46">
        <f>MAX(tbl_IBM[[#This Row],[Move]],0)</f>
        <v>2.710000000000008</v>
      </c>
      <c r="O63" s="46">
        <f>MAX(-tbl_IBM[[#This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0.55071428571428627</v>
      </c>
      <c r="Q63" s="46">
        <f ca="1">IF(ROW($O63)-5&lt;RSI_Periods, "", AVERAGE(INDIRECT(ADDRESS(ROW($O63)-RSI_Periods +1, MATCH("Downmove", Price_Header,0))): INDIRECT(ADDRESS(ROW($O63),MATCH("Downmove", Price_Header,0)))))</f>
        <v>1.6457142857142861</v>
      </c>
      <c r="R63" s="46">
        <f ca="1">IF(tbl_IBM[[#This Row],[Avg_Upmove]]="", "", tbl_IBM[[#This Row],[Avg_Upmove]]/tbl_IBM[[#This Row],[Avg_Downmove]])</f>
        <v>0.33463541666666691</v>
      </c>
      <c r="S63" s="48">
        <f ca="1">IF(ROW($N63)-4&lt;BB_Periods, "", _xlfn.STDEV.S(INDIRECT(ADDRESS(ROW($F63)-RSI_Periods +1, MATCH("Adj Close", Price_Header,0))): INDIRECT(ADDRESS(ROW($F63),MATCH("Adj Close", Price_Header,0)))))</f>
        <v>6.8671206196189392</v>
      </c>
    </row>
    <row r="64" spans="1:19" x14ac:dyDescent="0.35">
      <c r="A64" s="8">
        <v>44137</v>
      </c>
      <c r="B64" s="48">
        <v>112.65</v>
      </c>
      <c r="C64" s="48">
        <v>113.83</v>
      </c>
      <c r="D64" s="48">
        <v>112.25</v>
      </c>
      <c r="E64" s="48">
        <v>112.91</v>
      </c>
      <c r="F64" s="48">
        <v>111.3</v>
      </c>
      <c r="G64">
        <v>5311500</v>
      </c>
      <c r="H64" s="48">
        <f>IF(tbl_IBM[[#This Row],[Date]]=$A$5, $F64, EMA_Beta*$H63 + (1-EMA_Beta)*$F64)</f>
        <v>114.74353302318761</v>
      </c>
      <c r="I64" s="46">
        <f ca="1">IF(tbl_IBM[[#This Row],[RS]]= "", "", 100-(100/(1+tbl_IBM[[#This Row],[RS]])))</f>
        <v>29.923102641257103</v>
      </c>
      <c r="J64" s="48">
        <f ca="1">IF(ROW($N64)-4&lt;BB_Periods, "", AVERAGE(INDIRECT(ADDRESS(ROW($F64)-RSI_Periods +1, MATCH("Adj Close", Price_Header,0))): INDIRECT(ADDRESS(ROW($F64),MATCH("Adj Close", Price_Header,0)))))</f>
        <v>114.72142857142855</v>
      </c>
      <c r="K64" s="48">
        <f ca="1">IF(tbl_IBM[[#This Row],[BB_Mean]]="", "", tbl_IBM[[#This Row],[BB_Mean]]+(BB_Width*tbl_IBM[[#This Row],[BB_Stdev]]))</f>
        <v>127.86315274619778</v>
      </c>
      <c r="L64" s="48">
        <f ca="1">IF(tbl_IBM[[#This Row],[BB_Mean]]="", "", tbl_IBM[[#This Row],[BB_Mean]]-(BB_Width*tbl_IBM[[#This Row],[BB_Stdev]]))</f>
        <v>101.57970439665931</v>
      </c>
      <c r="M64" s="46">
        <f>IF(ROW(tbl_IBM[[#This Row],[Adj Close]])=5, 0, $F64-$F63)</f>
        <v>1.2399999999999949</v>
      </c>
      <c r="N64" s="46">
        <f>MAX(tbl_IBM[[#This Row],[Move]],0)</f>
        <v>1.2399999999999949</v>
      </c>
      <c r="O64" s="46">
        <f>MAX(-tbl_IBM[[#This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0.63928571428571446</v>
      </c>
      <c r="Q64" s="46">
        <f ca="1">IF(ROW($O64)-5&lt;RSI_Periods, "", AVERAGE(INDIRECT(ADDRESS(ROW($O64)-RSI_Periods +1, MATCH("Downmove", Price_Header,0))): INDIRECT(ADDRESS(ROW($O64),MATCH("Downmove", Price_Header,0)))))</f>
        <v>1.4971428571428578</v>
      </c>
      <c r="R64" s="46">
        <f ca="1">IF(tbl_IBM[[#This Row],[Avg_Upmove]]="", "", tbl_IBM[[#This Row],[Avg_Upmove]]/tbl_IBM[[#This Row],[Avg_Downmove]])</f>
        <v>0.42700381679389304</v>
      </c>
      <c r="S64" s="48">
        <f ca="1">IF(ROW($N64)-4&lt;BB_Periods, "", _xlfn.STDEV.S(INDIRECT(ADDRESS(ROW($F64)-RSI_Periods +1, MATCH("Adj Close", Price_Header,0))): INDIRECT(ADDRESS(ROW($F64),MATCH("Adj Close", Price_Header,0)))))</f>
        <v>6.5708620873846204</v>
      </c>
    </row>
    <row r="65" spans="1:19" x14ac:dyDescent="0.35">
      <c r="A65" s="8">
        <v>44138</v>
      </c>
      <c r="B65" s="48">
        <v>114</v>
      </c>
      <c r="C65" s="48">
        <v>115.65</v>
      </c>
      <c r="D65" s="48">
        <v>113.63</v>
      </c>
      <c r="E65" s="48">
        <v>114.16</v>
      </c>
      <c r="F65" s="48">
        <v>112.53</v>
      </c>
      <c r="G65">
        <v>4204300</v>
      </c>
      <c r="H65" s="48">
        <f>IF(tbl_IBM[[#This Row],[Date]]=$A$5, $F65, EMA_Beta*$H64 + (1-EMA_Beta)*$F65)</f>
        <v>114.52217972086885</v>
      </c>
      <c r="I65" s="46">
        <f ca="1">IF(tbl_IBM[[#This Row],[RS]]= "", "", 100-(100/(1+tbl_IBM[[#This Row],[RS]])))</f>
        <v>30.847904981854185</v>
      </c>
      <c r="J65" s="48">
        <f ca="1">IF(ROW($N65)-4&lt;BB_Periods, "", AVERAGE(INDIRECT(ADDRESS(ROW($F65)-RSI_Periods +1, MATCH("Adj Close", Price_Header,0))): INDIRECT(ADDRESS(ROW($F65),MATCH("Adj Close", Price_Header,0)))))</f>
        <v>113.89214285714284</v>
      </c>
      <c r="K65" s="48">
        <f ca="1">IF(tbl_IBM[[#This Row],[BB_Mean]]="", "", tbl_IBM[[#This Row],[BB_Mean]]+(BB_Width*tbl_IBM[[#This Row],[BB_Stdev]]))</f>
        <v>125.88901213739561</v>
      </c>
      <c r="L65" s="48">
        <f ca="1">IF(tbl_IBM[[#This Row],[BB_Mean]]="", "", tbl_IBM[[#This Row],[BB_Mean]]-(BB_Width*tbl_IBM[[#This Row],[BB_Stdev]]))</f>
        <v>101.89527357689008</v>
      </c>
      <c r="M65" s="46">
        <f>IF(ROW(tbl_IBM[[#This Row],[Adj Close]])=5, 0, $F65-$F64)</f>
        <v>1.230000000000004</v>
      </c>
      <c r="N65" s="46">
        <f>MAX(tbl_IBM[[#This Row],[Move]],0)</f>
        <v>1.230000000000004</v>
      </c>
      <c r="O65" s="46">
        <f>MAX(-tbl_IBM[[#This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0.66785714285714348</v>
      </c>
      <c r="Q65" s="46">
        <f ca="1">IF(ROW($O65)-5&lt;RSI_Periods, "", AVERAGE(INDIRECT(ADDRESS(ROW($O65)-RSI_Periods +1, MATCH("Downmove", Price_Header,0))): INDIRECT(ADDRESS(ROW($O65),MATCH("Downmove", Price_Header,0)))))</f>
        <v>1.4971428571428578</v>
      </c>
      <c r="R65" s="46">
        <f ca="1">IF(tbl_IBM[[#This Row],[Avg_Upmove]]="", "", tbl_IBM[[#This Row],[Avg_Upmove]]/tbl_IBM[[#This Row],[Avg_Downmove]])</f>
        <v>0.44608778625954221</v>
      </c>
      <c r="S65" s="48">
        <f ca="1">IF(ROW($N65)-4&lt;BB_Periods, "", _xlfn.STDEV.S(INDIRECT(ADDRESS(ROW($F65)-RSI_Periods +1, MATCH("Adj Close", Price_Header,0))): INDIRECT(ADDRESS(ROW($F65),MATCH("Adj Close", Price_Header,0)))))</f>
        <v>5.9984346401263835</v>
      </c>
    </row>
    <row r="66" spans="1:19" x14ac:dyDescent="0.35">
      <c r="A66" s="8">
        <v>44139</v>
      </c>
      <c r="B66" s="48">
        <v>112.33</v>
      </c>
      <c r="C66" s="48">
        <v>113.91</v>
      </c>
      <c r="D66" s="48">
        <v>111.16</v>
      </c>
      <c r="E66" s="48">
        <v>111.9</v>
      </c>
      <c r="F66" s="48">
        <v>110.3</v>
      </c>
      <c r="G66">
        <v>5800100</v>
      </c>
      <c r="H66" s="48">
        <f>IF(tbl_IBM[[#This Row],[Date]]=$A$5, $F66, EMA_Beta*$H65 + (1-EMA_Beta)*$F66)</f>
        <v>114.09996174878196</v>
      </c>
      <c r="I66" s="46">
        <f ca="1">IF(tbl_IBM[[#This Row],[RS]]= "", "", 100-(100/(1+tbl_IBM[[#This Row],[RS]])))</f>
        <v>29.682539682539684</v>
      </c>
      <c r="J66" s="48">
        <f ca="1">IF(ROW($N66)-4&lt;BB_Periods, "", AVERAGE(INDIRECT(ADDRESS(ROW($F66)-RSI_Periods +1, MATCH("Adj Close", Price_Header,0))): INDIRECT(ADDRESS(ROW($F66),MATCH("Adj Close", Price_Header,0)))))</f>
        <v>112.97785714285713</v>
      </c>
      <c r="K66" s="48">
        <f ca="1">IF(tbl_IBM[[#This Row],[BB_Mean]]="", "", tbl_IBM[[#This Row],[BB_Mean]]+(BB_Width*tbl_IBM[[#This Row],[BB_Stdev]]))</f>
        <v>123.85014846903667</v>
      </c>
      <c r="L66" s="48">
        <f ca="1">IF(tbl_IBM[[#This Row],[BB_Mean]]="", "", tbl_IBM[[#This Row],[BB_Mean]]-(BB_Width*tbl_IBM[[#This Row],[BB_Stdev]]))</f>
        <v>102.1055658166776</v>
      </c>
      <c r="M66" s="46">
        <f>IF(ROW(tbl_IBM[[#This Row],[Adj Close]])=5, 0, $F66-$F65)</f>
        <v>-2.230000000000004</v>
      </c>
      <c r="N66" s="46">
        <f>MAX(tbl_IBM[[#This Row],[Move]],0)</f>
        <v>0</v>
      </c>
      <c r="O66" s="46">
        <f>MAX(-tbl_IBM[[#This Row],[Move]],0)</f>
        <v>2.230000000000004</v>
      </c>
      <c r="P66" s="46">
        <f ca="1">IF(ROW($N66)-5&lt;RSI_Periods, "", AVERAGE(INDIRECT(ADDRESS(ROW($N66)-RSI_Periods +1, MATCH("Upmove", Price_Header,0))): INDIRECT(ADDRESS(ROW($N66),MATCH("Upmove", Price_Header,0)))))</f>
        <v>0.66785714285714348</v>
      </c>
      <c r="Q66" s="46">
        <f ca="1">IF(ROW($O66)-5&lt;RSI_Periods, "", AVERAGE(INDIRECT(ADDRESS(ROW($O66)-RSI_Periods +1, MATCH("Downmove", Price_Header,0))): INDIRECT(ADDRESS(ROW($O66),MATCH("Downmove", Price_Header,0)))))</f>
        <v>1.5821428571428575</v>
      </c>
      <c r="R66" s="46">
        <f ca="1">IF(tbl_IBM[[#This Row],[Avg_Upmove]]="", "", tbl_IBM[[#This Row],[Avg_Upmove]]/tbl_IBM[[#This Row],[Avg_Downmove]])</f>
        <v>0.42212189616252849</v>
      </c>
      <c r="S66" s="48">
        <f ca="1">IF(ROW($N66)-4&lt;BB_Periods, "", _xlfn.STDEV.S(INDIRECT(ADDRESS(ROW($F66)-RSI_Periods +1, MATCH("Adj Close", Price_Header,0))): INDIRECT(ADDRESS(ROW($F66),MATCH("Adj Close", Price_Header,0)))))</f>
        <v>5.436145663089766</v>
      </c>
    </row>
    <row r="67" spans="1:19" x14ac:dyDescent="0.35">
      <c r="A67" s="8">
        <v>44140</v>
      </c>
      <c r="B67" s="48">
        <v>113.3</v>
      </c>
      <c r="C67" s="48">
        <v>115.29</v>
      </c>
      <c r="D67" s="48">
        <v>113.01</v>
      </c>
      <c r="E67" s="48">
        <v>114.77</v>
      </c>
      <c r="F67" s="48">
        <v>113.13</v>
      </c>
      <c r="G67">
        <v>4902200</v>
      </c>
      <c r="H67" s="48">
        <f>IF(tbl_IBM[[#This Row],[Date]]=$A$5, $F67, EMA_Beta*$H66 + (1-EMA_Beta)*$F67)</f>
        <v>114.00296557390378</v>
      </c>
      <c r="I67" s="46">
        <f ca="1">IF(tbl_IBM[[#This Row],[RS]]= "", "", 100-(100/(1+tbl_IBM[[#This Row],[RS]])))</f>
        <v>33.483483483483496</v>
      </c>
      <c r="J67" s="48">
        <f ca="1">IF(ROW($N67)-4&lt;BB_Periods, "", AVERAGE(INDIRECT(ADDRESS(ROW($F67)-RSI_Periods +1, MATCH("Adj Close", Price_Header,0))): INDIRECT(ADDRESS(ROW($F67),MATCH("Adj Close", Price_Header,0)))))</f>
        <v>112.19214285714285</v>
      </c>
      <c r="K67" s="48">
        <f ca="1">IF(tbl_IBM[[#This Row],[BB_Mean]]="", "", tbl_IBM[[#This Row],[BB_Mean]]+(BB_Width*tbl_IBM[[#This Row],[BB_Stdev]]))</f>
        <v>120.98342937740362</v>
      </c>
      <c r="L67" s="48">
        <f ca="1">IF(tbl_IBM[[#This Row],[BB_Mean]]="", "", tbl_IBM[[#This Row],[BB_Mean]]-(BB_Width*tbl_IBM[[#This Row],[BB_Stdev]]))</f>
        <v>103.40085633688209</v>
      </c>
      <c r="M67" s="46">
        <f>IF(ROW(tbl_IBM[[#This Row],[Adj Close]])=5, 0, $F67-$F66)</f>
        <v>2.8299999999999983</v>
      </c>
      <c r="N67" s="46">
        <f>MAX(tbl_IBM[[#This Row],[Move]],0)</f>
        <v>2.8299999999999983</v>
      </c>
      <c r="O67" s="46">
        <f>MAX(-tbl_IBM[[#This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0.79642857142857182</v>
      </c>
      <c r="Q67" s="46">
        <f ca="1">IF(ROW($O67)-5&lt;RSI_Periods, "", AVERAGE(INDIRECT(ADDRESS(ROW($O67)-RSI_Periods +1, MATCH("Downmove", Price_Header,0))): INDIRECT(ADDRESS(ROW($O67),MATCH("Downmove", Price_Header,0)))))</f>
        <v>1.5821428571428575</v>
      </c>
      <c r="R67" s="46">
        <f ca="1">IF(tbl_IBM[[#This Row],[Avg_Upmove]]="", "", tbl_IBM[[#This Row],[Avg_Upmove]]/tbl_IBM[[#This Row],[Avg_Downmove]])</f>
        <v>0.50338600451467286</v>
      </c>
      <c r="S67" s="48">
        <f ca="1">IF(ROW($N67)-4&lt;BB_Periods, "", _xlfn.STDEV.S(INDIRECT(ADDRESS(ROW($F67)-RSI_Periods +1, MATCH("Adj Close", Price_Header,0))): INDIRECT(ADDRESS(ROW($F67),MATCH("Adj Close", Price_Header,0)))))</f>
        <v>4.3956432601303863</v>
      </c>
    </row>
    <row r="68" spans="1:19" x14ac:dyDescent="0.35">
      <c r="A68" s="8">
        <v>44141</v>
      </c>
      <c r="B68" s="48">
        <v>115.08</v>
      </c>
      <c r="C68" s="48">
        <v>115.1</v>
      </c>
      <c r="D68" s="48">
        <v>113.39</v>
      </c>
      <c r="E68" s="48">
        <v>114.04</v>
      </c>
      <c r="F68" s="48">
        <v>112.41</v>
      </c>
      <c r="G68">
        <v>5249200</v>
      </c>
      <c r="H68" s="48">
        <f>IF(tbl_IBM[[#This Row],[Date]]=$A$5, $F68, EMA_Beta*$H67 + (1-EMA_Beta)*$F68)</f>
        <v>113.8436690165134</v>
      </c>
      <c r="I68" s="46">
        <f ca="1">IF(tbl_IBM[[#This Row],[RS]]= "", "", 100-(100/(1+tbl_IBM[[#This Row],[RS]])))</f>
        <v>33.164782867340861</v>
      </c>
      <c r="J68" s="48">
        <f ca="1">IF(ROW($N68)-4&lt;BB_Periods, "", AVERAGE(INDIRECT(ADDRESS(ROW($F68)-RSI_Periods +1, MATCH("Adj Close", Price_Header,0))): INDIRECT(ADDRESS(ROW($F68),MATCH("Adj Close", Price_Header,0)))))</f>
        <v>111.38357142857144</v>
      </c>
      <c r="K68" s="48">
        <f ca="1">IF(tbl_IBM[[#This Row],[BB_Mean]]="", "", tbl_IBM[[#This Row],[BB_Mean]]+(BB_Width*tbl_IBM[[#This Row],[BB_Stdev]]))</f>
        <v>117.17359259044512</v>
      </c>
      <c r="L68" s="48">
        <f ca="1">IF(tbl_IBM[[#This Row],[BB_Mean]]="", "", tbl_IBM[[#This Row],[BB_Mean]]-(BB_Width*tbl_IBM[[#This Row],[BB_Stdev]]))</f>
        <v>105.59355026669776</v>
      </c>
      <c r="M68" s="46">
        <f>IF(ROW(tbl_IBM[[#This Row],[Adj Close]])=5, 0, $F68-$F67)</f>
        <v>-0.71999999999999886</v>
      </c>
      <c r="N68" s="46">
        <f>MAX(tbl_IBM[[#This Row],[Move]],0)</f>
        <v>0</v>
      </c>
      <c r="O68" s="46">
        <f>MAX(-tbl_IBM[[#This Row],[Move]],0)</f>
        <v>0.71999999999999886</v>
      </c>
      <c r="P68" s="46">
        <f ca="1">IF(ROW($N68)-5&lt;RSI_Periods, "", AVERAGE(INDIRECT(ADDRESS(ROW($N68)-RSI_Periods +1, MATCH("Upmove", Price_Header,0))): INDIRECT(ADDRESS(ROW($N68),MATCH("Upmove", Price_Header,0)))))</f>
        <v>0.79642857142857182</v>
      </c>
      <c r="Q68" s="46">
        <f ca="1">IF(ROW($O68)-5&lt;RSI_Periods, "", AVERAGE(INDIRECT(ADDRESS(ROW($O68)-RSI_Periods +1, MATCH("Downmove", Price_Header,0))): INDIRECT(ADDRESS(ROW($O68),MATCH("Downmove", Price_Header,0)))))</f>
        <v>1.6050000000000009</v>
      </c>
      <c r="R68" s="46">
        <f ca="1">IF(tbl_IBM[[#This Row],[Avg_Upmove]]="", "", tbl_IBM[[#This Row],[Avg_Upmove]]/tbl_IBM[[#This Row],[Avg_Downmove]])</f>
        <v>0.49621717846016911</v>
      </c>
      <c r="S68" s="48">
        <f ca="1">IF(ROW($N68)-4&lt;BB_Periods, "", _xlfn.STDEV.S(INDIRECT(ADDRESS(ROW($F68)-RSI_Periods +1, MATCH("Adj Close", Price_Header,0))): INDIRECT(ADDRESS(ROW($F68),MATCH("Adj Close", Price_Header,0)))))</f>
        <v>2.8950105809368409</v>
      </c>
    </row>
    <row r="69" spans="1:19" x14ac:dyDescent="0.35">
      <c r="A69" s="8">
        <v>44144</v>
      </c>
      <c r="B69" s="48">
        <v>117.88</v>
      </c>
      <c r="C69" s="48">
        <v>119.74</v>
      </c>
      <c r="D69" s="48">
        <v>115.27</v>
      </c>
      <c r="E69" s="48">
        <v>115.53</v>
      </c>
      <c r="F69" s="48">
        <v>115.53</v>
      </c>
      <c r="G69">
        <v>8992200</v>
      </c>
      <c r="H69" s="48">
        <f>IF(tbl_IBM[[#This Row],[Date]]=$A$5, $F69, EMA_Beta*$H68 + (1-EMA_Beta)*$F69)</f>
        <v>114.01230211486207</v>
      </c>
      <c r="I69" s="46">
        <f ca="1">IF(tbl_IBM[[#This Row],[RS]]= "", "", 100-(100/(1+tbl_IBM[[#This Row],[RS]])))</f>
        <v>49.721254355400703</v>
      </c>
      <c r="J69" s="48">
        <f ca="1">IF(ROW($N69)-4&lt;BB_Periods, "", AVERAGE(INDIRECT(ADDRESS(ROW($F69)-RSI_Periods +1, MATCH("Adj Close", Price_Header,0))): INDIRECT(ADDRESS(ROW($F69),MATCH("Adj Close", Price_Header,0)))))</f>
        <v>111.37214285714286</v>
      </c>
      <c r="K69" s="48">
        <f ca="1">IF(tbl_IBM[[#This Row],[BB_Mean]]="", "", tbl_IBM[[#This Row],[BB_Mean]]+(BB_Width*tbl_IBM[[#This Row],[BB_Stdev]]))</f>
        <v>117.12606688846634</v>
      </c>
      <c r="L69" s="48">
        <f ca="1">IF(tbl_IBM[[#This Row],[BB_Mean]]="", "", tbl_IBM[[#This Row],[BB_Mean]]-(BB_Width*tbl_IBM[[#This Row],[BB_Stdev]]))</f>
        <v>105.61821882581938</v>
      </c>
      <c r="M69" s="46">
        <f>IF(ROW(tbl_IBM[[#This Row],[Adj Close]])=5, 0, $F69-$F68)</f>
        <v>3.1200000000000045</v>
      </c>
      <c r="N69" s="46">
        <f>MAX(tbl_IBM[[#This Row],[Move]],0)</f>
        <v>3.1200000000000045</v>
      </c>
      <c r="O69" s="46">
        <f>MAX(-tbl_IBM[[#This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1.019285714285715</v>
      </c>
      <c r="Q69" s="46">
        <f ca="1">IF(ROW($O69)-5&lt;RSI_Periods, "", AVERAGE(INDIRECT(ADDRESS(ROW($O69)-RSI_Periods +1, MATCH("Downmove", Price_Header,0))): INDIRECT(ADDRESS(ROW($O69),MATCH("Downmove", Price_Header,0)))))</f>
        <v>1.0307142857142861</v>
      </c>
      <c r="R69" s="46">
        <f ca="1">IF(tbl_IBM[[#This Row],[Avg_Upmove]]="", "", tbl_IBM[[#This Row],[Avg_Upmove]]/tbl_IBM[[#This Row],[Avg_Downmove]])</f>
        <v>0.98891198891198917</v>
      </c>
      <c r="S69" s="48">
        <f ca="1">IF(ROW($N69)-4&lt;BB_Periods, "", _xlfn.STDEV.S(INDIRECT(ADDRESS(ROW($F69)-RSI_Periods +1, MATCH("Adj Close", Price_Header,0))): INDIRECT(ADDRESS(ROW($F69),MATCH("Adj Close", Price_Header,0)))))</f>
        <v>2.876962015661737</v>
      </c>
    </row>
    <row r="70" spans="1:19" x14ac:dyDescent="0.35">
      <c r="A70" s="8">
        <v>44145</v>
      </c>
      <c r="B70" s="48">
        <v>116.69</v>
      </c>
      <c r="C70" s="48">
        <v>118.17</v>
      </c>
      <c r="D70" s="48">
        <v>116.25</v>
      </c>
      <c r="E70" s="48">
        <v>117.91</v>
      </c>
      <c r="F70" s="48">
        <v>117.91</v>
      </c>
      <c r="G70">
        <v>5622800</v>
      </c>
      <c r="H70" s="48">
        <f>IF(tbl_IBM[[#This Row],[Date]]=$A$5, $F70, EMA_Beta*$H69 + (1-EMA_Beta)*$F70)</f>
        <v>114.40207190337586</v>
      </c>
      <c r="I70" s="46">
        <f ca="1">IF(tbl_IBM[[#This Row],[RS]]= "", "", 100-(100/(1+tbl_IBM[[#This Row],[RS]])))</f>
        <v>57.792433182922586</v>
      </c>
      <c r="J70" s="48">
        <f ca="1">IF(ROW($N70)-4&lt;BB_Periods, "", AVERAGE(INDIRECT(ADDRESS(ROW($F70)-RSI_Periods +1, MATCH("Adj Close", Price_Header,0))): INDIRECT(ADDRESS(ROW($F70),MATCH("Adj Close", Price_Header,0)))))</f>
        <v>111.69285714285715</v>
      </c>
      <c r="K70" s="48">
        <f ca="1">IF(tbl_IBM[[#This Row],[BB_Mean]]="", "", tbl_IBM[[#This Row],[BB_Mean]]+(BB_Width*tbl_IBM[[#This Row],[BB_Stdev]]))</f>
        <v>118.3656419545274</v>
      </c>
      <c r="L70" s="48">
        <f ca="1">IF(tbl_IBM[[#This Row],[BB_Mean]]="", "", tbl_IBM[[#This Row],[BB_Mean]]-(BB_Width*tbl_IBM[[#This Row],[BB_Stdev]]))</f>
        <v>105.0200723311869</v>
      </c>
      <c r="M70" s="46">
        <f>IF(ROW(tbl_IBM[[#This Row],[Adj Close]])=5, 0, $F70-$F69)</f>
        <v>2.3799999999999955</v>
      </c>
      <c r="N70" s="46">
        <f>MAX(tbl_IBM[[#This Row],[Move]],0)</f>
        <v>2.3799999999999955</v>
      </c>
      <c r="O70" s="46">
        <f>MAX(-tbl_IBM[[#This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1.1892857142857147</v>
      </c>
      <c r="Q70" s="46">
        <f ca="1">IF(ROW($O70)-5&lt;RSI_Periods, "", AVERAGE(INDIRECT(ADDRESS(ROW($O70)-RSI_Periods +1, MATCH("Downmove", Price_Header,0))): INDIRECT(ADDRESS(ROW($O70),MATCH("Downmove", Price_Header,0)))))</f>
        <v>0.86857142857142933</v>
      </c>
      <c r="R70" s="46">
        <f ca="1">IF(tbl_IBM[[#This Row],[Avg_Upmove]]="", "", tbl_IBM[[#This Row],[Avg_Upmove]]/tbl_IBM[[#This Row],[Avg_Downmove]])</f>
        <v>1.369243421052631</v>
      </c>
      <c r="S70" s="48">
        <f ca="1">IF(ROW($N70)-4&lt;BB_Periods, "", _xlfn.STDEV.S(INDIRECT(ADDRESS(ROW($F70)-RSI_Periods +1, MATCH("Adj Close", Price_Header,0))): INDIRECT(ADDRESS(ROW($F70),MATCH("Adj Close", Price_Header,0)))))</f>
        <v>3.3363924058351246</v>
      </c>
    </row>
    <row r="71" spans="1:19" x14ac:dyDescent="0.35">
      <c r="A71" s="8">
        <v>44146</v>
      </c>
      <c r="B71" s="48">
        <v>118.12</v>
      </c>
      <c r="C71" s="48">
        <v>118.35</v>
      </c>
      <c r="D71" s="48">
        <v>116.22</v>
      </c>
      <c r="E71" s="48">
        <v>117.2</v>
      </c>
      <c r="F71" s="48">
        <v>117.2</v>
      </c>
      <c r="G71">
        <v>4289600</v>
      </c>
      <c r="H71" s="48">
        <f>IF(tbl_IBM[[#This Row],[Date]]=$A$5, $F71, EMA_Beta*$H70 + (1-EMA_Beta)*$F71)</f>
        <v>114.68186471303827</v>
      </c>
      <c r="I71" s="46">
        <f ca="1">IF(tbl_IBM[[#This Row],[RS]]= "", "", 100-(100/(1+tbl_IBM[[#This Row],[RS]])))</f>
        <v>55.359001040582733</v>
      </c>
      <c r="J71" s="48">
        <f ca="1">IF(ROW($N71)-4&lt;BB_Periods, "", AVERAGE(INDIRECT(ADDRESS(ROW($F71)-RSI_Periods +1, MATCH("Adj Close", Price_Header,0))): INDIRECT(ADDRESS(ROW($F71),MATCH("Adj Close", Price_Header,0)))))</f>
        <v>111.91357142857143</v>
      </c>
      <c r="K71" s="48">
        <f ca="1">IF(tbl_IBM[[#This Row],[BB_Mean]]="", "", tbl_IBM[[#This Row],[BB_Mean]]+(BB_Width*tbl_IBM[[#This Row],[BB_Stdev]]))</f>
        <v>119.11429193586623</v>
      </c>
      <c r="L71" s="48">
        <f ca="1">IF(tbl_IBM[[#This Row],[BB_Mean]]="", "", tbl_IBM[[#This Row],[BB_Mean]]-(BB_Width*tbl_IBM[[#This Row],[BB_Stdev]]))</f>
        <v>104.71285092127663</v>
      </c>
      <c r="M71" s="46">
        <f>IF(ROW(tbl_IBM[[#This Row],[Adj Close]])=5, 0, $F71-$F70)</f>
        <v>-0.70999999999999375</v>
      </c>
      <c r="N71" s="46">
        <f>MAX(tbl_IBM[[#This Row],[Move]],0)</f>
        <v>0</v>
      </c>
      <c r="O71" s="46">
        <f>MAX(-tbl_IBM[[#This Row],[Move]],0)</f>
        <v>0.70999999999999375</v>
      </c>
      <c r="P71" s="46">
        <f ca="1">IF(ROW($N71)-5&lt;RSI_Periods, "", AVERAGE(INDIRECT(ADDRESS(ROW($N71)-RSI_Periods +1, MATCH("Upmove", Price_Header,0))): INDIRECT(ADDRESS(ROW($N71),MATCH("Upmove", Price_Header,0)))))</f>
        <v>1.1400000000000006</v>
      </c>
      <c r="Q71" s="46">
        <f ca="1">IF(ROW($O71)-5&lt;RSI_Periods, "", AVERAGE(INDIRECT(ADDRESS(ROW($O71)-RSI_Periods +1, MATCH("Downmove", Price_Header,0))): INDIRECT(ADDRESS(ROW($O71),MATCH("Downmove", Price_Header,0)))))</f>
        <v>0.91928571428571459</v>
      </c>
      <c r="R71" s="46">
        <f ca="1">IF(tbl_IBM[[#This Row],[Avg_Upmove]]="", "", tbl_IBM[[#This Row],[Avg_Upmove]]/tbl_IBM[[#This Row],[Avg_Downmove]])</f>
        <v>1.2400932400932403</v>
      </c>
      <c r="S71" s="48">
        <f ca="1">IF(ROW($N71)-4&lt;BB_Periods, "", _xlfn.STDEV.S(INDIRECT(ADDRESS(ROW($F71)-RSI_Periods +1, MATCH("Adj Close", Price_Header,0))): INDIRECT(ADDRESS(ROW($F71),MATCH("Adj Close", Price_Header,0)))))</f>
        <v>3.6003602536473989</v>
      </c>
    </row>
    <row r="72" spans="1:19" x14ac:dyDescent="0.35">
      <c r="A72" s="8">
        <v>44147</v>
      </c>
      <c r="B72" s="48">
        <v>115.63</v>
      </c>
      <c r="C72" s="48">
        <v>116.37</v>
      </c>
      <c r="D72" s="48">
        <v>113.48</v>
      </c>
      <c r="E72" s="48">
        <v>114.5</v>
      </c>
      <c r="F72" s="48">
        <v>114.5</v>
      </c>
      <c r="G72">
        <v>6498200</v>
      </c>
      <c r="H72" s="48">
        <f>IF(tbl_IBM[[#This Row],[Date]]=$A$5, $F72, EMA_Beta*$H71 + (1-EMA_Beta)*$F72)</f>
        <v>114.66367824173444</v>
      </c>
      <c r="I72" s="46">
        <f ca="1">IF(tbl_IBM[[#This Row],[RS]]= "", "", 100-(100/(1+tbl_IBM[[#This Row],[RS]])))</f>
        <v>50.255591054313086</v>
      </c>
      <c r="J72" s="48">
        <f ca="1">IF(ROW($N72)-4&lt;BB_Periods, "", AVERAGE(INDIRECT(ADDRESS(ROW($F72)-RSI_Periods +1, MATCH("Adj Close", Price_Header,0))): INDIRECT(ADDRESS(ROW($F72),MATCH("Adj Close", Price_Header,0)))))</f>
        <v>111.925</v>
      </c>
      <c r="K72" s="48">
        <f ca="1">IF(tbl_IBM[[#This Row],[BB_Mean]]="", "", tbl_IBM[[#This Row],[BB_Mean]]+(BB_Width*tbl_IBM[[#This Row],[BB_Stdev]]))</f>
        <v>119.14279744797538</v>
      </c>
      <c r="L72" s="48">
        <f ca="1">IF(tbl_IBM[[#This Row],[BB_Mean]]="", "", tbl_IBM[[#This Row],[BB_Mean]]-(BB_Width*tbl_IBM[[#This Row],[BB_Stdev]]))</f>
        <v>104.70720255202461</v>
      </c>
      <c r="M72" s="46">
        <f>IF(ROW(tbl_IBM[[#This Row],[Adj Close]])=5, 0, $F72-$F71)</f>
        <v>-2.7000000000000028</v>
      </c>
      <c r="N72" s="46">
        <f>MAX(tbl_IBM[[#This Row],[Move]],0)</f>
        <v>0</v>
      </c>
      <c r="O72" s="46">
        <f>MAX(-tbl_IBM[[#This Row],[Move]],0)</f>
        <v>2.7000000000000028</v>
      </c>
      <c r="P72" s="46">
        <f ca="1">IF(ROW($N72)-5&lt;RSI_Periods, "", AVERAGE(INDIRECT(ADDRESS(ROW($N72)-RSI_Periods +1, MATCH("Upmove", Price_Header,0))): INDIRECT(ADDRESS(ROW($N72),MATCH("Upmove", Price_Header,0)))))</f>
        <v>1.1235714285714289</v>
      </c>
      <c r="Q72" s="46">
        <f ca="1">IF(ROW($O72)-5&lt;RSI_Periods, "", AVERAGE(INDIRECT(ADDRESS(ROW($O72)-RSI_Periods +1, MATCH("Downmove", Price_Header,0))): INDIRECT(ADDRESS(ROW($O72),MATCH("Downmove", Price_Header,0)))))</f>
        <v>1.1121428571428578</v>
      </c>
      <c r="R72" s="46">
        <f ca="1">IF(tbl_IBM[[#This Row],[Avg_Upmove]]="", "", tbl_IBM[[#This Row],[Avg_Upmove]]/tbl_IBM[[#This Row],[Avg_Downmove]])</f>
        <v>1.0102761721258828</v>
      </c>
      <c r="S72" s="48">
        <f ca="1">IF(ROW($N72)-4&lt;BB_Periods, "", _xlfn.STDEV.S(INDIRECT(ADDRESS(ROW($F72)-RSI_Periods +1, MATCH("Adj Close", Price_Header,0))): INDIRECT(ADDRESS(ROW($F72),MATCH("Adj Close", Price_Header,0)))))</f>
        <v>3.6088987239876942</v>
      </c>
    </row>
    <row r="73" spans="1:19" x14ac:dyDescent="0.35">
      <c r="A73" s="8">
        <v>44148</v>
      </c>
      <c r="B73" s="48">
        <v>115.19</v>
      </c>
      <c r="C73" s="48">
        <v>117.37</v>
      </c>
      <c r="D73" s="48">
        <v>115.01</v>
      </c>
      <c r="E73" s="48">
        <v>116.85</v>
      </c>
      <c r="F73" s="48">
        <v>116.85</v>
      </c>
      <c r="G73">
        <v>4682600</v>
      </c>
      <c r="H73" s="48">
        <f>IF(tbl_IBM[[#This Row],[Date]]=$A$5, $F73, EMA_Beta*$H72 + (1-EMA_Beta)*$F73)</f>
        <v>114.882310417561</v>
      </c>
      <c r="I73" s="46">
        <f ca="1">IF(tbl_IBM[[#This Row],[RS]]= "", "", 100-(100/(1+tbl_IBM[[#This Row],[RS]])))</f>
        <v>60.407617774807868</v>
      </c>
      <c r="J73" s="48">
        <f ca="1">IF(ROW($N73)-4&lt;BB_Periods, "", AVERAGE(INDIRECT(ADDRESS(ROW($F73)-RSI_Periods +1, MATCH("Adj Close", Price_Header,0))): INDIRECT(ADDRESS(ROW($F73),MATCH("Adj Close", Price_Header,0)))))</f>
        <v>112.37</v>
      </c>
      <c r="K73" s="48">
        <f ca="1">IF(tbl_IBM[[#This Row],[BB_Mean]]="", "", tbl_IBM[[#This Row],[BB_Mean]]+(BB_Width*tbl_IBM[[#This Row],[BB_Stdev]]))</f>
        <v>119.99776708934081</v>
      </c>
      <c r="L73" s="48">
        <f ca="1">IF(tbl_IBM[[#This Row],[BB_Mean]]="", "", tbl_IBM[[#This Row],[BB_Mean]]-(BB_Width*tbl_IBM[[#This Row],[BB_Stdev]]))</f>
        <v>104.7422329106592</v>
      </c>
      <c r="M73" s="46">
        <f>IF(ROW(tbl_IBM[[#This Row],[Adj Close]])=5, 0, $F73-$F72)</f>
        <v>2.3499999999999943</v>
      </c>
      <c r="N73" s="46">
        <f>MAX(tbl_IBM[[#This Row],[Move]],0)</f>
        <v>2.3499999999999943</v>
      </c>
      <c r="O73" s="46">
        <f>MAX(-tbl_IBM[[#This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1.2914285714285714</v>
      </c>
      <c r="Q73" s="46">
        <f ca="1">IF(ROW($O73)-5&lt;RSI_Periods, "", AVERAGE(INDIRECT(ADDRESS(ROW($O73)-RSI_Periods +1, MATCH("Downmove", Price_Header,0))): INDIRECT(ADDRESS(ROW($O73),MATCH("Downmove", Price_Header,0)))))</f>
        <v>0.84642857142857209</v>
      </c>
      <c r="R73" s="46">
        <f ca="1">IF(tbl_IBM[[#This Row],[Avg_Upmove]]="", "", tbl_IBM[[#This Row],[Avg_Upmove]]/tbl_IBM[[#This Row],[Avg_Downmove]])</f>
        <v>1.5257383966244713</v>
      </c>
      <c r="S73" s="48">
        <f ca="1">IF(ROW($N73)-4&lt;BB_Periods, "", _xlfn.STDEV.S(INDIRECT(ADDRESS(ROW($F73)-RSI_Periods +1, MATCH("Adj Close", Price_Header,0))): INDIRECT(ADDRESS(ROW($F73),MATCH("Adj Close", Price_Header,0)))))</f>
        <v>3.8138835446704058</v>
      </c>
    </row>
    <row r="74" spans="1:19" x14ac:dyDescent="0.35">
      <c r="A74" t="s">
        <v>162</v>
      </c>
      <c r="S74">
        <f ca="1">SUBTOTAL(103,tbl_IBM[BB_Stdev])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4"/>
  <sheetViews>
    <sheetView topLeftCell="B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171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3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3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3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3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3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3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3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3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3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3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3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3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3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3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3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3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3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3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3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3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3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3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3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3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3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3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35">
      <c r="A45" s="8">
        <v>44110</v>
      </c>
      <c r="B45" s="10">
        <v>59.51</v>
      </c>
      <c r="C45" s="10">
        <v>60.53</v>
      </c>
      <c r="D45" s="10">
        <v>59.41</v>
      </c>
      <c r="E45" s="10">
        <v>59.51</v>
      </c>
      <c r="F45" s="10">
        <v>59.27</v>
      </c>
      <c r="G45">
        <v>9743600</v>
      </c>
      <c r="H45" s="127">
        <f>IF(tbl_ORCL[[#This Row],[Date]]=$A$5, $F45, EMA_Beta*$H44 + (1-EMA_Beta)*$F45)</f>
        <v>59.095942075480352</v>
      </c>
      <c r="I45" s="50">
        <f ca="1">IF(tbl_ORCL[[#This Row],[RS]]= "", "", 100-(100/(1+tbl_ORCL[[#This Row],[RS]])))</f>
        <v>41.594202898550755</v>
      </c>
      <c r="J45" s="127">
        <f ca="1">IF(ROW($N45)-4&lt;BB_Periods, "", AVERAGE(INDIRECT(ADDRESS(ROW($F45)-RSI_Periods +1, MATCH("Adj Close", Price_Header,0))): INDIRECT(ADDRESS(ROW($F45),MATCH("Adj Close", Price_Header,0)))))</f>
        <v>59.68</v>
      </c>
      <c r="K45" s="127">
        <f ca="1">IF(tbl_ORCL[[#This Row],[BB_Mean]]="", "", tbl_ORCL[[#This Row],[BB_Mean]]+(BB_Width*tbl_ORCL[[#This Row],[BB_Stdev]]))</f>
        <v>60.799725241023268</v>
      </c>
      <c r="L45" s="127">
        <f ca="1">IF(tbl_ORCL[[#This Row],[BB_Mean]]="", "", tbl_ORCL[[#This Row],[BB_Mean]]-(BB_Width*tbl_ORCL[[#This Row],[BB_Stdev]]))</f>
        <v>58.560274758976732</v>
      </c>
      <c r="M45" s="50">
        <f>IF(ROW(tbl_ORCL[[#This Row],[Adj Close]])=5, 0, $F45-$F44)</f>
        <v>-0.28999999999999915</v>
      </c>
      <c r="N45" s="50">
        <f>MAX(tbl_ORCL[[#This Row],[Move]],0)</f>
        <v>0</v>
      </c>
      <c r="O45" s="50">
        <f>MAX(-tbl_ORCL[[#This Row],[Move]],0)</f>
        <v>0.28999999999999915</v>
      </c>
      <c r="P45" s="50">
        <f ca="1">IF(ROW($N45)-5&lt;RSI_Periods, "", AVERAGE(INDIRECT(ADDRESS(ROW($N45)-RSI_Periods +1, MATCH("Upmove", Price_Header,0))): INDIRECT(ADDRESS(ROW($N45),MATCH("Upmove", Price_Header,0)))))</f>
        <v>0.20500000000000032</v>
      </c>
      <c r="Q45" s="50">
        <f ca="1">IF(ROW($O45)-5&lt;RSI_Periods, "", AVERAGE(INDIRECT(ADDRESS(ROW($O45)-RSI_Periods +1, MATCH("Downmove", Price_Header,0))): INDIRECT(ADDRESS(ROW($O45),MATCH("Downmove", Price_Header,0)))))</f>
        <v>0.28785714285714292</v>
      </c>
      <c r="R45" s="50">
        <f ca="1">IF(tbl_ORCL[[#This Row],[Avg_Upmove]]="", "", tbl_ORCL[[#This Row],[Avg_Upmove]]/tbl_ORCL[[#This Row],[Avg_Downmove]])</f>
        <v>0.71215880893300343</v>
      </c>
      <c r="S45" s="127">
        <f ca="1">IF(ROW($N45)-4&lt;BB_Periods, "", _xlfn.STDEV.S(INDIRECT(ADDRESS(ROW($F45)-RSI_Periods +1, MATCH("Adj Close", Price_Header,0))): INDIRECT(ADDRESS(ROW($F45),MATCH("Adj Close", Price_Header,0)))))</f>
        <v>0.5598626205116336</v>
      </c>
    </row>
    <row r="46" spans="1:19" x14ac:dyDescent="0.35">
      <c r="A46" s="8">
        <v>44111</v>
      </c>
      <c r="B46" s="10">
        <v>59.77</v>
      </c>
      <c r="C46" s="10">
        <v>60.9</v>
      </c>
      <c r="D46" s="10">
        <v>59.64</v>
      </c>
      <c r="E46" s="10">
        <v>60.59</v>
      </c>
      <c r="F46" s="10">
        <v>60.59</v>
      </c>
      <c r="G46">
        <v>8690900</v>
      </c>
      <c r="H46" s="127">
        <f>IF(tbl_ORCL[[#This Row],[Date]]=$A$5, $F46, EMA_Beta*$H45 + (1-EMA_Beta)*$F46)</f>
        <v>59.245347867932317</v>
      </c>
      <c r="I46" s="50">
        <f ca="1">IF(tbl_ORCL[[#This Row],[RS]]= "", "", 100-(100/(1+tbl_ORCL[[#This Row],[RS]])))</f>
        <v>52.572145545796758</v>
      </c>
      <c r="J46" s="127">
        <f ca="1">IF(ROW($N46)-4&lt;BB_Periods, "", AVERAGE(INDIRECT(ADDRESS(ROW($F46)-RSI_Periods +1, MATCH("Adj Close", Price_Header,0))): INDIRECT(ADDRESS(ROW($F46),MATCH("Adj Close", Price_Header,0)))))</f>
        <v>59.709285714285713</v>
      </c>
      <c r="K46" s="127">
        <f ca="1">IF(tbl_ORCL[[#This Row],[BB_Mean]]="", "", tbl_ORCL[[#This Row],[BB_Mean]]+(BB_Width*tbl_ORCL[[#This Row],[BB_Stdev]]))</f>
        <v>60.90426146005089</v>
      </c>
      <c r="L46" s="127">
        <f ca="1">IF(tbl_ORCL[[#This Row],[BB_Mean]]="", "", tbl_ORCL[[#This Row],[BB_Mean]]-(BB_Width*tbl_ORCL[[#This Row],[BB_Stdev]]))</f>
        <v>58.514309968520536</v>
      </c>
      <c r="M46" s="50">
        <f>IF(ROW(tbl_ORCL[[#This Row],[Adj Close]])=5, 0, $F46-$F45)</f>
        <v>1.3200000000000003</v>
      </c>
      <c r="N46" s="50">
        <f>MAX(tbl_ORCL[[#This Row],[Move]],0)</f>
        <v>1.3200000000000003</v>
      </c>
      <c r="O46" s="50">
        <f>MAX(-tbl_ORCL[[#This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0.29928571428571465</v>
      </c>
      <c r="Q46" s="50">
        <f ca="1">IF(ROW($O46)-5&lt;RSI_Periods, "", AVERAGE(INDIRECT(ADDRESS(ROW($O46)-RSI_Periods +1, MATCH("Downmove", Price_Header,0))): INDIRECT(ADDRESS(ROW($O46),MATCH("Downmove", Price_Header,0)))))</f>
        <v>0.27000000000000007</v>
      </c>
      <c r="R46" s="50">
        <f ca="1">IF(tbl_ORCL[[#This Row],[Avg_Upmove]]="", "", tbl_ORCL[[#This Row],[Avg_Upmove]]/tbl_ORCL[[#This Row],[Avg_Downmove]])</f>
        <v>1.1084656084656095</v>
      </c>
      <c r="S46" s="127">
        <f ca="1">IF(ROW($N46)-4&lt;BB_Periods, "", _xlfn.STDEV.S(INDIRECT(ADDRESS(ROW($F46)-RSI_Periods +1, MATCH("Adj Close", Price_Header,0))): INDIRECT(ADDRESS(ROW($F46),MATCH("Adj Close", Price_Header,0)))))</f>
        <v>0.59748787288258698</v>
      </c>
    </row>
    <row r="47" spans="1:19" x14ac:dyDescent="0.35">
      <c r="A47" s="8">
        <v>44112</v>
      </c>
      <c r="B47" s="10">
        <v>60.79</v>
      </c>
      <c r="C47" s="10">
        <v>61.3</v>
      </c>
      <c r="D47" s="10">
        <v>60.63</v>
      </c>
      <c r="E47" s="10">
        <v>60.89</v>
      </c>
      <c r="F47" s="10">
        <v>60.89</v>
      </c>
      <c r="G47">
        <v>7202800</v>
      </c>
      <c r="H47" s="127">
        <f>IF(tbl_ORCL[[#This Row],[Date]]=$A$5, $F47, EMA_Beta*$H46 + (1-EMA_Beta)*$F47)</f>
        <v>59.409813081139085</v>
      </c>
      <c r="I47" s="50">
        <f ca="1">IF(tbl_ORCL[[#This Row],[RS]]= "", "", 100-(100/(1+tbl_ORCL[[#This Row],[RS]])))</f>
        <v>57.270408163265309</v>
      </c>
      <c r="J47" s="127">
        <f ca="1">IF(ROW($N47)-4&lt;BB_Periods, "", AVERAGE(INDIRECT(ADDRESS(ROW($F47)-RSI_Periods +1, MATCH("Adj Close", Price_Header,0))): INDIRECT(ADDRESS(ROW($F47),MATCH("Adj Close", Price_Header,0)))))</f>
        <v>59.79071428571428</v>
      </c>
      <c r="K47" s="127">
        <f ca="1">IF(tbl_ORCL[[#This Row],[BB_Mean]]="", "", tbl_ORCL[[#This Row],[BB_Mean]]+(BB_Width*tbl_ORCL[[#This Row],[BB_Stdev]]))</f>
        <v>61.142692079926874</v>
      </c>
      <c r="L47" s="127">
        <f ca="1">IF(tbl_ORCL[[#This Row],[BB_Mean]]="", "", tbl_ORCL[[#This Row],[BB_Mean]]-(BB_Width*tbl_ORCL[[#This Row],[BB_Stdev]]))</f>
        <v>58.438736491501686</v>
      </c>
      <c r="M47" s="50">
        <f>IF(ROW(tbl_ORCL[[#This Row],[Adj Close]])=5, 0, $F47-$F46)</f>
        <v>0.29999999999999716</v>
      </c>
      <c r="N47" s="50">
        <f>MAX(tbl_ORCL[[#This Row],[Move]],0)</f>
        <v>0.29999999999999716</v>
      </c>
      <c r="O47" s="50">
        <f>MAX(-tbl_ORCL[[#This Row],[Move]],0)</f>
        <v>0</v>
      </c>
      <c r="P47" s="50">
        <f ca="1">IF(ROW($N47)-5&lt;RSI_Periods, "", AVERAGE(INDIRECT(ADDRESS(ROW($N47)-RSI_Periods +1, MATCH("Upmove", Price_Header,0))): INDIRECT(ADDRESS(ROW($N47),MATCH("Upmove", Price_Header,0)))))</f>
        <v>0.32071428571428584</v>
      </c>
      <c r="Q47" s="50">
        <f ca="1">IF(ROW($O47)-5&lt;RSI_Periods, "", AVERAGE(INDIRECT(ADDRESS(ROW($O47)-RSI_Periods +1, MATCH("Downmove", Price_Header,0))): INDIRECT(ADDRESS(ROW($O47),MATCH("Downmove", Price_Header,0)))))</f>
        <v>0.23928571428571438</v>
      </c>
      <c r="R47" s="50">
        <f ca="1">IF(tbl_ORCL[[#This Row],[Avg_Upmove]]="", "", tbl_ORCL[[#This Row],[Avg_Upmove]]/tbl_ORCL[[#This Row],[Avg_Downmove]])</f>
        <v>1.3402985074626865</v>
      </c>
      <c r="S47" s="127">
        <f ca="1">IF(ROW($N47)-4&lt;BB_Periods, "", _xlfn.STDEV.S(INDIRECT(ADDRESS(ROW($F47)-RSI_Periods +1, MATCH("Adj Close", Price_Header,0))): INDIRECT(ADDRESS(ROW($F47),MATCH("Adj Close", Price_Header,0)))))</f>
        <v>0.67598889710629817</v>
      </c>
    </row>
    <row r="48" spans="1:19" x14ac:dyDescent="0.35">
      <c r="A48" s="8">
        <v>44113</v>
      </c>
      <c r="B48" s="10">
        <v>61.15</v>
      </c>
      <c r="C48" s="10">
        <v>61.38</v>
      </c>
      <c r="D48" s="10">
        <v>60.86</v>
      </c>
      <c r="E48" s="10">
        <v>61.15</v>
      </c>
      <c r="F48" s="10">
        <v>61.15</v>
      </c>
      <c r="G48">
        <v>7354000</v>
      </c>
      <c r="H48" s="127">
        <f>IF(tbl_ORCL[[#This Row],[Date]]=$A$5, $F48, EMA_Beta*$H47 + (1-EMA_Beta)*$F48)</f>
        <v>59.583831773025182</v>
      </c>
      <c r="I48" s="50">
        <f ca="1">IF(tbl_ORCL[[#This Row],[RS]]= "", "", 100-(100/(1+tbl_ORCL[[#This Row],[RS]])))</f>
        <v>52.347083926031289</v>
      </c>
      <c r="J48" s="127">
        <f ca="1">IF(ROW($N48)-4&lt;BB_Periods, "", AVERAGE(INDIRECT(ADDRESS(ROW($F48)-RSI_Periods +1, MATCH("Adj Close", Price_Header,0))): INDIRECT(ADDRESS(ROW($F48),MATCH("Adj Close", Price_Header,0)))))</f>
        <v>59.81428571428571</v>
      </c>
      <c r="K48" s="127">
        <f ca="1">IF(tbl_ORCL[[#This Row],[BB_Mean]]="", "", tbl_ORCL[[#This Row],[BB_Mean]]+(BB_Width*tbl_ORCL[[#This Row],[BB_Stdev]]))</f>
        <v>61.252333841986037</v>
      </c>
      <c r="L48" s="127">
        <f ca="1">IF(tbl_ORCL[[#This Row],[BB_Mean]]="", "", tbl_ORCL[[#This Row],[BB_Mean]]-(BB_Width*tbl_ORCL[[#This Row],[BB_Stdev]]))</f>
        <v>58.376237586585383</v>
      </c>
      <c r="M48" s="50">
        <f>IF(ROW(tbl_ORCL[[#This Row],[Adj Close]])=5, 0, $F48-$F47)</f>
        <v>0.25999999999999801</v>
      </c>
      <c r="N48" s="50">
        <f>MAX(tbl_ORCL[[#This Row],[Move]],0)</f>
        <v>0.25999999999999801</v>
      </c>
      <c r="O48" s="50">
        <f>MAX(-tbl_ORCL[[#This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0.26285714285714284</v>
      </c>
      <c r="Q48" s="50">
        <f ca="1">IF(ROW($O48)-5&lt;RSI_Periods, "", AVERAGE(INDIRECT(ADDRESS(ROW($O48)-RSI_Periods +1, MATCH("Downmove", Price_Header,0))): INDIRECT(ADDRESS(ROW($O48),MATCH("Downmove", Price_Header,0)))))</f>
        <v>0.23928571428571438</v>
      </c>
      <c r="R48" s="50">
        <f ca="1">IF(tbl_ORCL[[#This Row],[Avg_Upmove]]="", "", tbl_ORCL[[#This Row],[Avg_Upmove]]/tbl_ORCL[[#This Row],[Avg_Downmove]])</f>
        <v>1.0985074626865667</v>
      </c>
      <c r="S48" s="127">
        <f ca="1">IF(ROW($N48)-4&lt;BB_Periods, "", _xlfn.STDEV.S(INDIRECT(ADDRESS(ROW($F48)-RSI_Periods +1, MATCH("Adj Close", Price_Header,0))): INDIRECT(ADDRESS(ROW($F48),MATCH("Adj Close", Price_Header,0)))))</f>
        <v>0.71902406385016382</v>
      </c>
    </row>
    <row r="49" spans="1:19" x14ac:dyDescent="0.35">
      <c r="A49" s="8">
        <v>44116</v>
      </c>
      <c r="B49" s="10">
        <v>61.24</v>
      </c>
      <c r="C49" s="10">
        <v>61.83</v>
      </c>
      <c r="D49" s="10">
        <v>61.07</v>
      </c>
      <c r="E49" s="10">
        <v>61.46</v>
      </c>
      <c r="F49" s="10">
        <v>61.46</v>
      </c>
      <c r="G49">
        <v>8275000</v>
      </c>
      <c r="H49" s="127">
        <f>IF(tbl_ORCL[[#This Row],[Date]]=$A$5, $F49, EMA_Beta*$H48 + (1-EMA_Beta)*$F49)</f>
        <v>59.771448595722667</v>
      </c>
      <c r="I49" s="50">
        <f ca="1">IF(tbl_ORCL[[#This Row],[RS]]= "", "", 100-(100/(1+tbl_ORCL[[#This Row],[RS]])))</f>
        <v>55.882352941176492</v>
      </c>
      <c r="J49" s="127">
        <f ca="1">IF(ROW($N49)-4&lt;BB_Periods, "", AVERAGE(INDIRECT(ADDRESS(ROW($F49)-RSI_Periods +1, MATCH("Adj Close", Price_Header,0))): INDIRECT(ADDRESS(ROW($F49),MATCH("Adj Close", Price_Header,0)))))</f>
        <v>59.874285714285712</v>
      </c>
      <c r="K49" s="127">
        <f ca="1">IF(tbl_ORCL[[#This Row],[BB_Mean]]="", "", tbl_ORCL[[#This Row],[BB_Mean]]+(BB_Width*tbl_ORCL[[#This Row],[BB_Stdev]]))</f>
        <v>61.513210582995299</v>
      </c>
      <c r="L49" s="127">
        <f ca="1">IF(tbl_ORCL[[#This Row],[BB_Mean]]="", "", tbl_ORCL[[#This Row],[BB_Mean]]-(BB_Width*tbl_ORCL[[#This Row],[BB_Stdev]]))</f>
        <v>58.235360845576125</v>
      </c>
      <c r="M49" s="50">
        <f>IF(ROW(tbl_ORCL[[#This Row],[Adj Close]])=5, 0, $F49-$F48)</f>
        <v>0.31000000000000227</v>
      </c>
      <c r="N49" s="50">
        <f>MAX(tbl_ORCL[[#This Row],[Move]],0)</f>
        <v>0.31000000000000227</v>
      </c>
      <c r="O49" s="50">
        <f>MAX(-tbl_ORCL[[#This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0.28500000000000014</v>
      </c>
      <c r="Q49" s="50">
        <f ca="1">IF(ROW($O49)-5&lt;RSI_Periods, "", AVERAGE(INDIRECT(ADDRESS(ROW($O49)-RSI_Periods +1, MATCH("Downmove", Price_Header,0))): INDIRECT(ADDRESS(ROW($O49),MATCH("Downmove", Price_Header,0)))))</f>
        <v>0.22499999999999989</v>
      </c>
      <c r="R49" s="50">
        <f ca="1">IF(tbl_ORCL[[#This Row],[Avg_Upmove]]="", "", tbl_ORCL[[#This Row],[Avg_Upmove]]/tbl_ORCL[[#This Row],[Avg_Downmove]])</f>
        <v>1.2666666666666679</v>
      </c>
      <c r="S49" s="127">
        <f ca="1">IF(ROW($N49)-4&lt;BB_Periods, "", _xlfn.STDEV.S(INDIRECT(ADDRESS(ROW($F49)-RSI_Periods +1, MATCH("Adj Close", Price_Header,0))): INDIRECT(ADDRESS(ROW($F49),MATCH("Adj Close", Price_Header,0)))))</f>
        <v>0.81946243435479194</v>
      </c>
    </row>
    <row r="50" spans="1:19" x14ac:dyDescent="0.35">
      <c r="A50" s="8">
        <v>44117</v>
      </c>
      <c r="B50" s="10">
        <v>61.57</v>
      </c>
      <c r="C50" s="10">
        <v>61.78</v>
      </c>
      <c r="D50" s="10">
        <v>60.88</v>
      </c>
      <c r="E50" s="10">
        <v>60.97</v>
      </c>
      <c r="F50" s="10">
        <v>60.97</v>
      </c>
      <c r="G50">
        <v>8896300</v>
      </c>
      <c r="H50" s="127">
        <f>IF(tbl_ORCL[[#This Row],[Date]]=$A$5, $F50, EMA_Beta*$H49 + (1-EMA_Beta)*$F50)</f>
        <v>59.891303736150405</v>
      </c>
      <c r="I50" s="50">
        <f ca="1">IF(tbl_ORCL[[#This Row],[RS]]= "", "", 100-(100/(1+tbl_ORCL[[#This Row],[RS]])))</f>
        <v>66.834170854271321</v>
      </c>
      <c r="J50" s="127">
        <f ca="1">IF(ROW($N50)-4&lt;BB_Periods, "", AVERAGE(INDIRECT(ADDRESS(ROW($F50)-RSI_Periods +1, MATCH("Adj Close", Price_Header,0))): INDIRECT(ADDRESS(ROW($F50),MATCH("Adj Close", Price_Header,0)))))</f>
        <v>60.017857142857153</v>
      </c>
      <c r="K50" s="127">
        <f ca="1">IF(tbl_ORCL[[#This Row],[BB_Mean]]="", "", tbl_ORCL[[#This Row],[BB_Mean]]+(BB_Width*tbl_ORCL[[#This Row],[BB_Stdev]]))</f>
        <v>61.663909363197661</v>
      </c>
      <c r="L50" s="127">
        <f ca="1">IF(tbl_ORCL[[#This Row],[BB_Mean]]="", "", tbl_ORCL[[#This Row],[BB_Mean]]-(BB_Width*tbl_ORCL[[#This Row],[BB_Stdev]]))</f>
        <v>58.371804922516645</v>
      </c>
      <c r="M50" s="50">
        <f>IF(ROW(tbl_ORCL[[#This Row],[Adj Close]])=5, 0, $F50-$F49)</f>
        <v>-0.49000000000000199</v>
      </c>
      <c r="N50" s="50">
        <f>MAX(tbl_ORCL[[#This Row],[Move]],0)</f>
        <v>0</v>
      </c>
      <c r="O50" s="50">
        <f>MAX(-tbl_ORCL[[#This Row],[Move]],0)</f>
        <v>0.49000000000000199</v>
      </c>
      <c r="P50" s="50">
        <f ca="1">IF(ROW($N50)-5&lt;RSI_Periods, "", AVERAGE(INDIRECT(ADDRESS(ROW($N50)-RSI_Periods +1, MATCH("Upmove", Price_Header,0))): INDIRECT(ADDRESS(ROW($N50),MATCH("Upmove", Price_Header,0)))))</f>
        <v>0.28500000000000014</v>
      </c>
      <c r="Q50" s="50">
        <f ca="1">IF(ROW($O50)-5&lt;RSI_Periods, "", AVERAGE(INDIRECT(ADDRESS(ROW($O50)-RSI_Periods +1, MATCH("Downmove", Price_Header,0))): INDIRECT(ADDRESS(ROW($O50),MATCH("Downmove", Price_Header,0)))))</f>
        <v>0.14142857142857171</v>
      </c>
      <c r="R50" s="50">
        <f ca="1">IF(tbl_ORCL[[#This Row],[Avg_Upmove]]="", "", tbl_ORCL[[#This Row],[Avg_Upmove]]/tbl_ORCL[[#This Row],[Avg_Downmove]])</f>
        <v>2.015151515151512</v>
      </c>
      <c r="S50" s="127">
        <f ca="1">IF(ROW($N50)-4&lt;BB_Periods, "", _xlfn.STDEV.S(INDIRECT(ADDRESS(ROW($F50)-RSI_Periods +1, MATCH("Adj Close", Price_Header,0))): INDIRECT(ADDRESS(ROW($F50),MATCH("Adj Close", Price_Header,0)))))</f>
        <v>0.82302611017025362</v>
      </c>
    </row>
    <row r="51" spans="1:19" x14ac:dyDescent="0.35">
      <c r="A51" s="8">
        <v>44118</v>
      </c>
      <c r="B51" s="10">
        <v>61.35</v>
      </c>
      <c r="C51" s="10">
        <v>61.53</v>
      </c>
      <c r="D51" s="10">
        <v>60.85</v>
      </c>
      <c r="E51" s="10">
        <v>60.96</v>
      </c>
      <c r="F51" s="10">
        <v>60.96</v>
      </c>
      <c r="G51">
        <v>6652200</v>
      </c>
      <c r="H51" s="127">
        <f>IF(tbl_ORCL[[#This Row],[Date]]=$A$5, $F51, EMA_Beta*$H50 + (1-EMA_Beta)*$F51)</f>
        <v>59.998173362535361</v>
      </c>
      <c r="I51" s="50">
        <f ca="1">IF(tbl_ORCL[[#This Row],[RS]]= "", "", 100-(100/(1+tbl_ORCL[[#This Row],[RS]])))</f>
        <v>64.716312056737593</v>
      </c>
      <c r="J51" s="127">
        <f ca="1">IF(ROW($N51)-4&lt;BB_Periods, "", AVERAGE(INDIRECT(ADDRESS(ROW($F51)-RSI_Periods +1, MATCH("Adj Close", Price_Header,0))): INDIRECT(ADDRESS(ROW($F51),MATCH("Adj Close", Price_Header,0)))))</f>
        <v>60.136428571428574</v>
      </c>
      <c r="K51" s="127">
        <f ca="1">IF(tbl_ORCL[[#This Row],[BB_Mean]]="", "", tbl_ORCL[[#This Row],[BB_Mean]]+(BB_Width*tbl_ORCL[[#This Row],[BB_Stdev]]))</f>
        <v>61.79880142866714</v>
      </c>
      <c r="L51" s="127">
        <f ca="1">IF(tbl_ORCL[[#This Row],[BB_Mean]]="", "", tbl_ORCL[[#This Row],[BB_Mean]]-(BB_Width*tbl_ORCL[[#This Row],[BB_Stdev]]))</f>
        <v>58.474055714190008</v>
      </c>
      <c r="M51" s="50">
        <f>IF(ROW(tbl_ORCL[[#This Row],[Adj Close]])=5, 0, $F51-$F50)</f>
        <v>-9.9999999999980105E-3</v>
      </c>
      <c r="N51" s="50">
        <f>MAX(tbl_ORCL[[#This Row],[Move]],0)</f>
        <v>0</v>
      </c>
      <c r="O51" s="50">
        <f>MAX(-tbl_ORCL[[#This Row],[Move]],0)</f>
        <v>9.9999999999980105E-3</v>
      </c>
      <c r="P51" s="50">
        <f ca="1">IF(ROW($N51)-5&lt;RSI_Periods, "", AVERAGE(INDIRECT(ADDRESS(ROW($N51)-RSI_Periods +1, MATCH("Upmove", Price_Header,0))): INDIRECT(ADDRESS(ROW($N51),MATCH("Upmove", Price_Header,0)))))</f>
        <v>0.26071428571428612</v>
      </c>
      <c r="Q51" s="50">
        <f ca="1">IF(ROW($O51)-5&lt;RSI_Periods, "", AVERAGE(INDIRECT(ADDRESS(ROW($O51)-RSI_Periods +1, MATCH("Downmove", Price_Header,0))): INDIRECT(ADDRESS(ROW($O51),MATCH("Downmove", Price_Header,0)))))</f>
        <v>0.14214285714285729</v>
      </c>
      <c r="R51" s="50">
        <f ca="1">IF(tbl_ORCL[[#This Row],[Avg_Upmove]]="", "", tbl_ORCL[[#This Row],[Avg_Upmove]]/tbl_ORCL[[#This Row],[Avg_Downmove]])</f>
        <v>1.8341708542713577</v>
      </c>
      <c r="S51" s="127">
        <f ca="1">IF(ROW($N51)-4&lt;BB_Periods, "", _xlfn.STDEV.S(INDIRECT(ADDRESS(ROW($F51)-RSI_Periods +1, MATCH("Adj Close", Price_Header,0))): INDIRECT(ADDRESS(ROW($F51),MATCH("Adj Close", Price_Header,0)))))</f>
        <v>0.83118642861928349</v>
      </c>
    </row>
    <row r="52" spans="1:19" x14ac:dyDescent="0.35">
      <c r="A52" s="8">
        <v>44119</v>
      </c>
      <c r="B52" s="10">
        <v>60.27</v>
      </c>
      <c r="C52" s="10">
        <v>60.74</v>
      </c>
      <c r="D52" s="10">
        <v>60.08</v>
      </c>
      <c r="E52" s="10">
        <v>60.52</v>
      </c>
      <c r="F52" s="10">
        <v>60.52</v>
      </c>
      <c r="G52">
        <v>6251600</v>
      </c>
      <c r="H52" s="127">
        <f>IF(tbl_ORCL[[#This Row],[Date]]=$A$5, $F52, EMA_Beta*$H51 + (1-EMA_Beta)*$F52)</f>
        <v>60.050356026281825</v>
      </c>
      <c r="I52" s="50">
        <f ca="1">IF(tbl_ORCL[[#This Row],[RS]]= "", "", 100-(100/(1+tbl_ORCL[[#This Row],[RS]])))</f>
        <v>56.45161290322585</v>
      </c>
      <c r="J52" s="127">
        <f ca="1">IF(ROW($N52)-4&lt;BB_Periods, "", AVERAGE(INDIRECT(ADDRESS(ROW($F52)-RSI_Periods +1, MATCH("Adj Close", Price_Header,0))): INDIRECT(ADDRESS(ROW($F52),MATCH("Adj Close", Price_Header,0)))))</f>
        <v>60.187857142857141</v>
      </c>
      <c r="K52" s="127">
        <f ca="1">IF(tbl_ORCL[[#This Row],[BB_Mean]]="", "", tbl_ORCL[[#This Row],[BB_Mean]]+(BB_Width*tbl_ORCL[[#This Row],[BB_Stdev]]))</f>
        <v>61.849944404686092</v>
      </c>
      <c r="L52" s="127">
        <f ca="1">IF(tbl_ORCL[[#This Row],[BB_Mean]]="", "", tbl_ORCL[[#This Row],[BB_Mean]]-(BB_Width*tbl_ORCL[[#This Row],[BB_Stdev]]))</f>
        <v>58.525769881028189</v>
      </c>
      <c r="M52" s="50">
        <f>IF(ROW(tbl_ORCL[[#This Row],[Adj Close]])=5, 0, $F52-$F51)</f>
        <v>-0.43999999999999773</v>
      </c>
      <c r="N52" s="50">
        <f>MAX(tbl_ORCL[[#This Row],[Move]],0)</f>
        <v>0</v>
      </c>
      <c r="O52" s="50">
        <f>MAX(-tbl_ORCL[[#This Row],[Move]],0)</f>
        <v>0.43999999999999773</v>
      </c>
      <c r="P52" s="50">
        <f ca="1">IF(ROW($N52)-5&lt;RSI_Periods, "", AVERAGE(INDIRECT(ADDRESS(ROW($N52)-RSI_Periods +1, MATCH("Upmove", Price_Header,0))): INDIRECT(ADDRESS(ROW($N52),MATCH("Upmove", Price_Header,0)))))</f>
        <v>0.22500000000000039</v>
      </c>
      <c r="Q52" s="50">
        <f ca="1">IF(ROW($O52)-5&lt;RSI_Periods, "", AVERAGE(INDIRECT(ADDRESS(ROW($O52)-RSI_Periods +1, MATCH("Downmove", Price_Header,0))): INDIRECT(ADDRESS(ROW($O52),MATCH("Downmove", Price_Header,0)))))</f>
        <v>0.17357142857142854</v>
      </c>
      <c r="R52" s="50">
        <f ca="1">IF(tbl_ORCL[[#This Row],[Avg_Upmove]]="", "", tbl_ORCL[[#This Row],[Avg_Upmove]]/tbl_ORCL[[#This Row],[Avg_Downmove]])</f>
        <v>1.2962962962962987</v>
      </c>
      <c r="S52" s="127">
        <f ca="1">IF(ROW($N52)-4&lt;BB_Periods, "", _xlfn.STDEV.S(INDIRECT(ADDRESS(ROW($F52)-RSI_Periods +1, MATCH("Adj Close", Price_Header,0))): INDIRECT(ADDRESS(ROW($F52),MATCH("Adj Close", Price_Header,0)))))</f>
        <v>0.83104363091447642</v>
      </c>
    </row>
    <row r="53" spans="1:19" x14ac:dyDescent="0.35">
      <c r="A53" s="8">
        <v>44120</v>
      </c>
      <c r="B53" s="10">
        <v>60.71</v>
      </c>
      <c r="C53" s="10">
        <v>61.11</v>
      </c>
      <c r="D53" s="10">
        <v>60.26</v>
      </c>
      <c r="E53" s="10">
        <v>60.29</v>
      </c>
      <c r="F53" s="10">
        <v>60.29</v>
      </c>
      <c r="G53">
        <v>6070800</v>
      </c>
      <c r="H53" s="127">
        <f>IF(tbl_ORCL[[#This Row],[Date]]=$A$5, $F53, EMA_Beta*$H52 + (1-EMA_Beta)*$F53)</f>
        <v>60.074320423653639</v>
      </c>
      <c r="I53" s="50">
        <f ca="1">IF(tbl_ORCL[[#This Row],[RS]]= "", "", 100-(100/(1+tbl_ORCL[[#This Row],[RS]])))</f>
        <v>56.350626118067972</v>
      </c>
      <c r="J53" s="127">
        <f ca="1">IF(ROW($N53)-4&lt;BB_Periods, "", AVERAGE(INDIRECT(ADDRESS(ROW($F53)-RSI_Periods +1, MATCH("Adj Close", Price_Header,0))): INDIRECT(ADDRESS(ROW($F53),MATCH("Adj Close", Price_Header,0)))))</f>
        <v>60.238571428571433</v>
      </c>
      <c r="K53" s="127">
        <f ca="1">IF(tbl_ORCL[[#This Row],[BB_Mean]]="", "", tbl_ORCL[[#This Row],[BB_Mean]]+(BB_Width*tbl_ORCL[[#This Row],[BB_Stdev]]))</f>
        <v>61.863679370886594</v>
      </c>
      <c r="L53" s="127">
        <f ca="1">IF(tbl_ORCL[[#This Row],[BB_Mean]]="", "", tbl_ORCL[[#This Row],[BB_Mean]]-(BB_Width*tbl_ORCL[[#This Row],[BB_Stdev]]))</f>
        <v>58.613463486256272</v>
      </c>
      <c r="M53" s="50">
        <f>IF(ROW(tbl_ORCL[[#This Row],[Adj Close]])=5, 0, $F53-$F52)</f>
        <v>-0.23000000000000398</v>
      </c>
      <c r="N53" s="50">
        <f>MAX(tbl_ORCL[[#This Row],[Move]],0)</f>
        <v>0</v>
      </c>
      <c r="O53" s="50">
        <f>MAX(-tbl_ORCL[[#This Row],[Move]],0)</f>
        <v>0.23000000000000398</v>
      </c>
      <c r="P53" s="50">
        <f ca="1">IF(ROW($N53)-5&lt;RSI_Periods, "", AVERAGE(INDIRECT(ADDRESS(ROW($N53)-RSI_Periods +1, MATCH("Upmove", Price_Header,0))): INDIRECT(ADDRESS(ROW($N53),MATCH("Upmove", Price_Header,0)))))</f>
        <v>0.22500000000000039</v>
      </c>
      <c r="Q53" s="50">
        <f ca="1">IF(ROW($O53)-5&lt;RSI_Periods, "", AVERAGE(INDIRECT(ADDRESS(ROW($O53)-RSI_Periods +1, MATCH("Downmove", Price_Header,0))): INDIRECT(ADDRESS(ROW($O53),MATCH("Downmove", Price_Header,0)))))</f>
        <v>0.17428571428571463</v>
      </c>
      <c r="R53" s="50">
        <f ca="1">IF(tbl_ORCL[[#This Row],[Avg_Upmove]]="", "", tbl_ORCL[[#This Row],[Avg_Upmove]]/tbl_ORCL[[#This Row],[Avg_Downmove]])</f>
        <v>1.2909836065573768</v>
      </c>
      <c r="S53" s="127">
        <f ca="1">IF(ROW($N53)-4&lt;BB_Periods, "", _xlfn.STDEV.S(INDIRECT(ADDRESS(ROW($F53)-RSI_Periods +1, MATCH("Adj Close", Price_Header,0))): INDIRECT(ADDRESS(ROW($F53),MATCH("Adj Close", Price_Header,0)))))</f>
        <v>0.81255397115758154</v>
      </c>
    </row>
    <row r="54" spans="1:19" x14ac:dyDescent="0.35">
      <c r="A54" s="8">
        <v>44123</v>
      </c>
      <c r="B54" s="10">
        <v>60.39</v>
      </c>
      <c r="C54" s="10">
        <v>60.75</v>
      </c>
      <c r="D54" s="10">
        <v>59.39</v>
      </c>
      <c r="E54" s="10">
        <v>59.62</v>
      </c>
      <c r="F54" s="10">
        <v>59.62</v>
      </c>
      <c r="G54">
        <v>8311000</v>
      </c>
      <c r="H54" s="127">
        <f>IF(tbl_ORCL[[#This Row],[Date]]=$A$5, $F54, EMA_Beta*$H53 + (1-EMA_Beta)*$F54)</f>
        <v>60.028888381288269</v>
      </c>
      <c r="I54" s="50">
        <f ca="1">IF(tbl_ORCL[[#This Row],[RS]]= "", "", 100-(100/(1+tbl_ORCL[[#This Row],[RS]])))</f>
        <v>51.219512195121936</v>
      </c>
      <c r="J54" s="127">
        <f ca="1">IF(ROW($N54)-4&lt;BB_Periods, "", AVERAGE(INDIRECT(ADDRESS(ROW($F54)-RSI_Periods +1, MATCH("Adj Close", Price_Header,0))): INDIRECT(ADDRESS(ROW($F54),MATCH("Adj Close", Price_Header,0)))))</f>
        <v>60.249285714285712</v>
      </c>
      <c r="K54" s="127">
        <f ca="1">IF(tbl_ORCL[[#This Row],[BB_Mean]]="", "", tbl_ORCL[[#This Row],[BB_Mean]]+(BB_Width*tbl_ORCL[[#This Row],[BB_Stdev]]))</f>
        <v>61.85442101719925</v>
      </c>
      <c r="L54" s="127">
        <f ca="1">IF(tbl_ORCL[[#This Row],[BB_Mean]]="", "", tbl_ORCL[[#This Row],[BB_Mean]]-(BB_Width*tbl_ORCL[[#This Row],[BB_Stdev]]))</f>
        <v>58.644150411372173</v>
      </c>
      <c r="M54" s="50">
        <f>IF(ROW(tbl_ORCL[[#This Row],[Adj Close]])=5, 0, $F54-$F53)</f>
        <v>-0.67000000000000171</v>
      </c>
      <c r="N54" s="50">
        <f>MAX(tbl_ORCL[[#This Row],[Move]],0)</f>
        <v>0</v>
      </c>
      <c r="O54" s="50">
        <f>MAX(-tbl_ORCL[[#This Row],[Move]],0)</f>
        <v>0.67000000000000171</v>
      </c>
      <c r="P54" s="50">
        <f ca="1">IF(ROW($N54)-5&lt;RSI_Periods, "", AVERAGE(INDIRECT(ADDRESS(ROW($N54)-RSI_Periods +1, MATCH("Upmove", Price_Header,0))): INDIRECT(ADDRESS(ROW($N54),MATCH("Upmove", Price_Header,0)))))</f>
        <v>0.22500000000000039</v>
      </c>
      <c r="Q54" s="50">
        <f ca="1">IF(ROW($O54)-5&lt;RSI_Periods, "", AVERAGE(INDIRECT(ADDRESS(ROW($O54)-RSI_Periods +1, MATCH("Downmove", Price_Header,0))): INDIRECT(ADDRESS(ROW($O54),MATCH("Downmove", Price_Header,0)))))</f>
        <v>0.2142857142857148</v>
      </c>
      <c r="R54" s="50">
        <f ca="1">IF(tbl_ORCL[[#This Row],[Avg_Upmove]]="", "", tbl_ORCL[[#This Row],[Avg_Upmove]]/tbl_ORCL[[#This Row],[Avg_Downmove]])</f>
        <v>1.0499999999999994</v>
      </c>
      <c r="S54" s="127">
        <f ca="1">IF(ROW($N54)-4&lt;BB_Periods, "", _xlfn.STDEV.S(INDIRECT(ADDRESS(ROW($F54)-RSI_Periods +1, MATCH("Adj Close", Price_Header,0))): INDIRECT(ADDRESS(ROW($F54),MATCH("Adj Close", Price_Header,0)))))</f>
        <v>0.80256765145676978</v>
      </c>
    </row>
    <row r="55" spans="1:19" x14ac:dyDescent="0.35">
      <c r="A55" s="8">
        <v>44124</v>
      </c>
      <c r="B55" s="10">
        <v>59.92</v>
      </c>
      <c r="C55" s="10">
        <v>60.33</v>
      </c>
      <c r="D55" s="10">
        <v>59.63</v>
      </c>
      <c r="E55" s="10">
        <v>59.75</v>
      </c>
      <c r="F55" s="10">
        <v>59.75</v>
      </c>
      <c r="G55">
        <v>9241200</v>
      </c>
      <c r="H55" s="127">
        <f>IF(tbl_ORCL[[#This Row],[Date]]=$A$5, $F55, EMA_Beta*$H54 + (1-EMA_Beta)*$F55)</f>
        <v>60.000999543159445</v>
      </c>
      <c r="I55" s="50">
        <f ca="1">IF(tbl_ORCL[[#This Row],[RS]]= "", "", 100-(100/(1+tbl_ORCL[[#This Row],[RS]])))</f>
        <v>50.413223140495845</v>
      </c>
      <c r="J55" s="127">
        <f ca="1">IF(ROW($N55)-4&lt;BB_Periods, "", AVERAGE(INDIRECT(ADDRESS(ROW($F55)-RSI_Periods +1, MATCH("Adj Close", Price_Header,0))): INDIRECT(ADDRESS(ROW($F55),MATCH("Adj Close", Price_Header,0)))))</f>
        <v>60.252857142857138</v>
      </c>
      <c r="K55" s="127">
        <f ca="1">IF(tbl_ORCL[[#This Row],[BB_Mean]]="", "", tbl_ORCL[[#This Row],[BB_Mean]]+(BB_Width*tbl_ORCL[[#This Row],[BB_Stdev]]))</f>
        <v>61.852942305425849</v>
      </c>
      <c r="L55" s="127">
        <f ca="1">IF(tbl_ORCL[[#This Row],[BB_Mean]]="", "", tbl_ORCL[[#This Row],[BB_Mean]]-(BB_Width*tbl_ORCL[[#This Row],[BB_Stdev]]))</f>
        <v>58.652771980288428</v>
      </c>
      <c r="M55" s="50">
        <f>IF(ROW(tbl_ORCL[[#This Row],[Adj Close]])=5, 0, $F55-$F54)</f>
        <v>0.13000000000000256</v>
      </c>
      <c r="N55" s="50">
        <f>MAX(tbl_ORCL[[#This Row],[Move]],0)</f>
        <v>0.13000000000000256</v>
      </c>
      <c r="O55" s="50">
        <f>MAX(-tbl_ORCL[[#This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0.21785714285714317</v>
      </c>
      <c r="Q55" s="50">
        <f ca="1">IF(ROW($O55)-5&lt;RSI_Periods, "", AVERAGE(INDIRECT(ADDRESS(ROW($O55)-RSI_Periods +1, MATCH("Downmove", Price_Header,0))): INDIRECT(ADDRESS(ROW($O55),MATCH("Downmove", Price_Header,0)))))</f>
        <v>0.2142857142857148</v>
      </c>
      <c r="R55" s="50">
        <f ca="1">IF(tbl_ORCL[[#This Row],[Avg_Upmove]]="", "", tbl_ORCL[[#This Row],[Avg_Upmove]]/tbl_ORCL[[#This Row],[Avg_Downmove]])</f>
        <v>1.0166666666666657</v>
      </c>
      <c r="S55" s="127">
        <f ca="1">IF(ROW($N55)-4&lt;BB_Periods, "", _xlfn.STDEV.S(INDIRECT(ADDRESS(ROW($F55)-RSI_Periods +1, MATCH("Adj Close", Price_Header,0))): INDIRECT(ADDRESS(ROW($F55),MATCH("Adj Close", Price_Header,0)))))</f>
        <v>0.8000425812843539</v>
      </c>
    </row>
    <row r="56" spans="1:19" x14ac:dyDescent="0.35">
      <c r="A56" s="8">
        <v>44125</v>
      </c>
      <c r="B56" s="10">
        <v>59.34</v>
      </c>
      <c r="C56" s="10">
        <v>60.12</v>
      </c>
      <c r="D56" s="10">
        <v>59.22</v>
      </c>
      <c r="E56" s="10">
        <v>59.67</v>
      </c>
      <c r="F56" s="10">
        <v>59.67</v>
      </c>
      <c r="G56">
        <v>10114900</v>
      </c>
      <c r="H56" s="127">
        <f>IF(tbl_ORCL[[#This Row],[Date]]=$A$5, $F56, EMA_Beta*$H55 + (1-EMA_Beta)*$F56)</f>
        <v>59.967899588843501</v>
      </c>
      <c r="I56" s="50">
        <f ca="1">IF(tbl_ORCL[[#This Row],[RS]]= "", "", 100-(100/(1+tbl_ORCL[[#This Row],[RS]])))</f>
        <v>49.918166939443552</v>
      </c>
      <c r="J56" s="127">
        <f ca="1">IF(ROW($N56)-4&lt;BB_Periods, "", AVERAGE(INDIRECT(ADDRESS(ROW($F56)-RSI_Periods +1, MATCH("Adj Close", Price_Header,0))): INDIRECT(ADDRESS(ROW($F56),MATCH("Adj Close", Price_Header,0)))))</f>
        <v>60.25214285714285</v>
      </c>
      <c r="K56" s="127">
        <f ca="1">IF(tbl_ORCL[[#This Row],[BB_Mean]]="", "", tbl_ORCL[[#This Row],[BB_Mean]]+(BB_Width*tbl_ORCL[[#This Row],[BB_Stdev]]))</f>
        <v>61.853338152422715</v>
      </c>
      <c r="L56" s="127">
        <f ca="1">IF(tbl_ORCL[[#This Row],[BB_Mean]]="", "", tbl_ORCL[[#This Row],[BB_Mean]]-(BB_Width*tbl_ORCL[[#This Row],[BB_Stdev]]))</f>
        <v>58.650947561862985</v>
      </c>
      <c r="M56" s="50">
        <f>IF(ROW(tbl_ORCL[[#This Row],[Adj Close]])=5, 0, $F56-$F55)</f>
        <v>-7.9999999999998295E-2</v>
      </c>
      <c r="N56" s="50">
        <f>MAX(tbl_ORCL[[#This Row],[Move]],0)</f>
        <v>0</v>
      </c>
      <c r="O56" s="50">
        <f>MAX(-tbl_ORCL[[#This Row],[Move]],0)</f>
        <v>7.9999999999998295E-2</v>
      </c>
      <c r="P56" s="50">
        <f ca="1">IF(ROW($N56)-5&lt;RSI_Periods, "", AVERAGE(INDIRECT(ADDRESS(ROW($N56)-RSI_Periods +1, MATCH("Upmove", Price_Header,0))): INDIRECT(ADDRESS(ROW($N56),MATCH("Upmove", Price_Header,0)))))</f>
        <v>0.21785714285714317</v>
      </c>
      <c r="Q56" s="50">
        <f ca="1">IF(ROW($O56)-5&lt;RSI_Periods, "", AVERAGE(INDIRECT(ADDRESS(ROW($O56)-RSI_Periods +1, MATCH("Downmove", Price_Header,0))): INDIRECT(ADDRESS(ROW($O56),MATCH("Downmove", Price_Header,0)))))</f>
        <v>0.21857142857142872</v>
      </c>
      <c r="R56" s="50">
        <f ca="1">IF(tbl_ORCL[[#This Row],[Avg_Upmove]]="", "", tbl_ORCL[[#This Row],[Avg_Upmove]]/tbl_ORCL[[#This Row],[Avg_Downmove]])</f>
        <v>0.99673202614379153</v>
      </c>
      <c r="S56" s="127">
        <f ca="1">IF(ROW($N56)-4&lt;BB_Periods, "", _xlfn.STDEV.S(INDIRECT(ADDRESS(ROW($F56)-RSI_Periods +1, MATCH("Adj Close", Price_Header,0))): INDIRECT(ADDRESS(ROW($F56),MATCH("Adj Close", Price_Header,0)))))</f>
        <v>0.80059764763993246</v>
      </c>
    </row>
    <row r="57" spans="1:19" x14ac:dyDescent="0.35">
      <c r="A57" s="8">
        <v>44126</v>
      </c>
      <c r="B57" s="10">
        <v>59.44</v>
      </c>
      <c r="C57" s="10">
        <v>59.87</v>
      </c>
      <c r="D57" s="10">
        <v>58.69</v>
      </c>
      <c r="E57" s="10">
        <v>59.69</v>
      </c>
      <c r="F57" s="10">
        <v>59.69</v>
      </c>
      <c r="G57">
        <v>11900600</v>
      </c>
      <c r="H57" s="127">
        <f>IF(tbl_ORCL[[#This Row],[Date]]=$A$5, $F57, EMA_Beta*$H56 + (1-EMA_Beta)*$F57)</f>
        <v>59.940109629959153</v>
      </c>
      <c r="I57" s="50">
        <f ca="1">IF(tbl_ORCL[[#This Row],[RS]]= "", "", 100-(100/(1+tbl_ORCL[[#This Row],[RS]])))</f>
        <v>58.143939393939384</v>
      </c>
      <c r="J57" s="127">
        <f ca="1">IF(ROW($N57)-4&lt;BB_Periods, "", AVERAGE(INDIRECT(ADDRESS(ROW($F57)-RSI_Periods +1, MATCH("Adj Close", Price_Header,0))): INDIRECT(ADDRESS(ROW($F57),MATCH("Adj Close", Price_Header,0)))))</f>
        <v>60.313571428571422</v>
      </c>
      <c r="K57" s="127">
        <f ca="1">IF(tbl_ORCL[[#This Row],[BB_Mean]]="", "", tbl_ORCL[[#This Row],[BB_Mean]]+(BB_Width*tbl_ORCL[[#This Row],[BB_Stdev]]))</f>
        <v>61.735717307551106</v>
      </c>
      <c r="L57" s="127">
        <f ca="1">IF(tbl_ORCL[[#This Row],[BB_Mean]]="", "", tbl_ORCL[[#This Row],[BB_Mean]]-(BB_Width*tbl_ORCL[[#This Row],[BB_Stdev]]))</f>
        <v>58.891425549591737</v>
      </c>
      <c r="M57" s="50">
        <f>IF(ROW(tbl_ORCL[[#This Row],[Adj Close]])=5, 0, $F57-$F56)</f>
        <v>1.9999999999996021E-2</v>
      </c>
      <c r="N57" s="50">
        <f>MAX(tbl_ORCL[[#This Row],[Move]],0)</f>
        <v>1.9999999999996021E-2</v>
      </c>
      <c r="O57" s="50">
        <f>MAX(-tbl_ORCL[[#This Row],[Move]],0)</f>
        <v>0</v>
      </c>
      <c r="P57" s="50">
        <f ca="1">IF(ROW($N57)-5&lt;RSI_Periods, "", AVERAGE(INDIRECT(ADDRESS(ROW($N57)-RSI_Periods +1, MATCH("Upmove", Price_Header,0))): INDIRECT(ADDRESS(ROW($N57),MATCH("Upmove", Price_Header,0)))))</f>
        <v>0.21928571428571431</v>
      </c>
      <c r="Q57" s="50">
        <f ca="1">IF(ROW($O57)-5&lt;RSI_Periods, "", AVERAGE(INDIRECT(ADDRESS(ROW($O57)-RSI_Periods +1, MATCH("Downmove", Price_Header,0))): INDIRECT(ADDRESS(ROW($O57),MATCH("Downmove", Price_Header,0)))))</f>
        <v>0.15785714285714292</v>
      </c>
      <c r="R57" s="50">
        <f ca="1">IF(tbl_ORCL[[#This Row],[Avg_Upmove]]="", "", tbl_ORCL[[#This Row],[Avg_Upmove]]/tbl_ORCL[[#This Row],[Avg_Downmove]])</f>
        <v>1.3891402714932122</v>
      </c>
      <c r="S57" s="127">
        <f ca="1">IF(ROW($N57)-4&lt;BB_Periods, "", _xlfn.STDEV.S(INDIRECT(ADDRESS(ROW($F57)-RSI_Periods +1, MATCH("Adj Close", Price_Header,0))): INDIRECT(ADDRESS(ROW($F57),MATCH("Adj Close", Price_Header,0)))))</f>
        <v>0.7110729394898424</v>
      </c>
    </row>
    <row r="58" spans="1:19" x14ac:dyDescent="0.35">
      <c r="A58" s="8">
        <v>44127</v>
      </c>
      <c r="B58" s="10">
        <v>59.9</v>
      </c>
      <c r="C58" s="10">
        <v>60.16</v>
      </c>
      <c r="D58" s="10">
        <v>59.71</v>
      </c>
      <c r="E58" s="10">
        <v>59.9</v>
      </c>
      <c r="F58" s="10">
        <v>59.9</v>
      </c>
      <c r="G58">
        <v>9739300</v>
      </c>
      <c r="H58" s="127">
        <f>IF(tbl_ORCL[[#This Row],[Date]]=$A$5, $F58, EMA_Beta*$H57 + (1-EMA_Beta)*$F58)</f>
        <v>59.936098666963233</v>
      </c>
      <c r="I58" s="50">
        <f ca="1">IF(tbl_ORCL[[#This Row],[RS]]= "", "", 100-(100/(1+tbl_ORCL[[#This Row],[RS]])))</f>
        <v>53.571428571428541</v>
      </c>
      <c r="J58" s="127">
        <f ca="1">IF(ROW($N58)-4&lt;BB_Periods, "", AVERAGE(INDIRECT(ADDRESS(ROW($F58)-RSI_Periods +1, MATCH("Adj Close", Price_Header,0))): INDIRECT(ADDRESS(ROW($F58),MATCH("Adj Close", Price_Header,0)))))</f>
        <v>60.337857142857139</v>
      </c>
      <c r="K58" s="127">
        <f ca="1">IF(tbl_ORCL[[#This Row],[BB_Mean]]="", "", tbl_ORCL[[#This Row],[BB_Mean]]+(BB_Width*tbl_ORCL[[#This Row],[BB_Stdev]]))</f>
        <v>61.715484502797821</v>
      </c>
      <c r="L58" s="127">
        <f ca="1">IF(tbl_ORCL[[#This Row],[BB_Mean]]="", "", tbl_ORCL[[#This Row],[BB_Mean]]-(BB_Width*tbl_ORCL[[#This Row],[BB_Stdev]]))</f>
        <v>58.960229782916457</v>
      </c>
      <c r="M58" s="50">
        <f>IF(ROW(tbl_ORCL[[#This Row],[Adj Close]])=5, 0, $F58-$F57)</f>
        <v>0.21000000000000085</v>
      </c>
      <c r="N58" s="50">
        <f>MAX(tbl_ORCL[[#This Row],[Move]],0)</f>
        <v>0.21000000000000085</v>
      </c>
      <c r="O58" s="50">
        <f>MAX(-tbl_ORCL[[#This Row],[Move]],0)</f>
        <v>0</v>
      </c>
      <c r="P58" s="50">
        <f ca="1">IF(ROW($N58)-5&lt;RSI_Periods, "", AVERAGE(INDIRECT(ADDRESS(ROW($N58)-RSI_Periods +1, MATCH("Upmove", Price_Header,0))): INDIRECT(ADDRESS(ROW($N58),MATCH("Upmove", Price_Header,0)))))</f>
        <v>0.18214285714285694</v>
      </c>
      <c r="Q58" s="50">
        <f ca="1">IF(ROW($O58)-5&lt;RSI_Periods, "", AVERAGE(INDIRECT(ADDRESS(ROW($O58)-RSI_Periods +1, MATCH("Downmove", Price_Header,0))): INDIRECT(ADDRESS(ROW($O58),MATCH("Downmove", Price_Header,0)))))</f>
        <v>0.15785714285714292</v>
      </c>
      <c r="R58" s="50">
        <f ca="1">IF(tbl_ORCL[[#This Row],[Avg_Upmove]]="", "", tbl_ORCL[[#This Row],[Avg_Upmove]]/tbl_ORCL[[#This Row],[Avg_Downmove]])</f>
        <v>1.1538461538461522</v>
      </c>
      <c r="S58" s="127">
        <f ca="1">IF(ROW($N58)-4&lt;BB_Periods, "", _xlfn.STDEV.S(INDIRECT(ADDRESS(ROW($F58)-RSI_Periods +1, MATCH("Adj Close", Price_Header,0))): INDIRECT(ADDRESS(ROW($F58),MATCH("Adj Close", Price_Header,0)))))</f>
        <v>0.68881367997034282</v>
      </c>
    </row>
    <row r="59" spans="1:19" x14ac:dyDescent="0.35">
      <c r="A59" s="8">
        <v>44130</v>
      </c>
      <c r="B59" s="10">
        <v>58.1</v>
      </c>
      <c r="C59" s="10">
        <v>58.48</v>
      </c>
      <c r="D59" s="10">
        <v>56.53</v>
      </c>
      <c r="E59" s="10">
        <v>57.49</v>
      </c>
      <c r="F59" s="10">
        <v>57.49</v>
      </c>
      <c r="G59">
        <v>18876900</v>
      </c>
      <c r="H59" s="127">
        <f>IF(tbl_ORCL[[#This Row],[Date]]=$A$5, $F59, EMA_Beta*$H58 + (1-EMA_Beta)*$F59)</f>
        <v>59.69148880026691</v>
      </c>
      <c r="I59" s="50">
        <f ca="1">IF(tbl_ORCL[[#This Row],[RS]]= "", "", 100-(100/(1+tbl_ORCL[[#This Row],[RS]])))</f>
        <v>37.063953488372078</v>
      </c>
      <c r="J59" s="127">
        <f ca="1">IF(ROW($N59)-4&lt;BB_Periods, "", AVERAGE(INDIRECT(ADDRESS(ROW($F59)-RSI_Periods +1, MATCH("Adj Close", Price_Header,0))): INDIRECT(ADDRESS(ROW($F59),MATCH("Adj Close", Price_Header,0)))))</f>
        <v>60.210714285714282</v>
      </c>
      <c r="K59" s="127">
        <f ca="1">IF(tbl_ORCL[[#This Row],[BB_Mean]]="", "", tbl_ORCL[[#This Row],[BB_Mean]]+(BB_Width*tbl_ORCL[[#This Row],[BB_Stdev]]))</f>
        <v>62.203909853496974</v>
      </c>
      <c r="L59" s="127">
        <f ca="1">IF(tbl_ORCL[[#This Row],[BB_Mean]]="", "", tbl_ORCL[[#This Row],[BB_Mean]]-(BB_Width*tbl_ORCL[[#This Row],[BB_Stdev]]))</f>
        <v>58.21751871793159</v>
      </c>
      <c r="M59" s="50">
        <f>IF(ROW(tbl_ORCL[[#This Row],[Adj Close]])=5, 0, $F59-$F58)</f>
        <v>-2.4099999999999966</v>
      </c>
      <c r="N59" s="50">
        <f>MAX(tbl_ORCL[[#This Row],[Move]],0)</f>
        <v>0</v>
      </c>
      <c r="O59" s="50">
        <f>MAX(-tbl_ORCL[[#This Row],[Move]],0)</f>
        <v>2.4099999999999966</v>
      </c>
      <c r="P59" s="50">
        <f ca="1">IF(ROW($N59)-5&lt;RSI_Periods, "", AVERAGE(INDIRECT(ADDRESS(ROW($N59)-RSI_Periods +1, MATCH("Upmove", Price_Header,0))): INDIRECT(ADDRESS(ROW($N59),MATCH("Upmove", Price_Header,0)))))</f>
        <v>0.18214285714285694</v>
      </c>
      <c r="Q59" s="50">
        <f ca="1">IF(ROW($O59)-5&lt;RSI_Periods, "", AVERAGE(INDIRECT(ADDRESS(ROW($O59)-RSI_Periods +1, MATCH("Downmove", Price_Header,0))): INDIRECT(ADDRESS(ROW($O59),MATCH("Downmove", Price_Header,0)))))</f>
        <v>0.30928571428571416</v>
      </c>
      <c r="R59" s="50">
        <f ca="1">IF(tbl_ORCL[[#This Row],[Avg_Upmove]]="", "", tbl_ORCL[[#This Row],[Avg_Upmove]]/tbl_ORCL[[#This Row],[Avg_Downmove]])</f>
        <v>0.58891454965357926</v>
      </c>
      <c r="S59" s="127">
        <f ca="1">IF(ROW($N59)-4&lt;BB_Periods, "", _xlfn.STDEV.S(INDIRECT(ADDRESS(ROW($F59)-RSI_Periods +1, MATCH("Adj Close", Price_Header,0))): INDIRECT(ADDRESS(ROW($F59),MATCH("Adj Close", Price_Header,0)))))</f>
        <v>0.99659778389134646</v>
      </c>
    </row>
    <row r="60" spans="1:19" x14ac:dyDescent="0.35">
      <c r="A60" s="8">
        <v>44131</v>
      </c>
      <c r="B60" s="10">
        <v>57.64</v>
      </c>
      <c r="C60" s="10">
        <v>57.98</v>
      </c>
      <c r="D60" s="10">
        <v>57.02</v>
      </c>
      <c r="E60" s="10">
        <v>57.08</v>
      </c>
      <c r="F60" s="10">
        <v>57.08</v>
      </c>
      <c r="G60">
        <v>10806500</v>
      </c>
      <c r="H60" s="127">
        <f>IF(tbl_ORCL[[#This Row],[Date]]=$A$5, $F60, EMA_Beta*$H59 + (1-EMA_Beta)*$F60)</f>
        <v>59.430339920240222</v>
      </c>
      <c r="I60" s="50">
        <f ca="1">IF(tbl_ORCL[[#This Row],[RS]]= "", "", 100-(100/(1+tbl_ORCL[[#This Row],[RS]])))</f>
        <v>20.603015075376831</v>
      </c>
      <c r="J60" s="127">
        <f ca="1">IF(ROW($N60)-4&lt;BB_Periods, "", AVERAGE(INDIRECT(ADDRESS(ROW($F60)-RSI_Periods +1, MATCH("Adj Close", Price_Header,0))): INDIRECT(ADDRESS(ROW($F60),MATCH("Adj Close", Price_Header,0)))))</f>
        <v>59.96</v>
      </c>
      <c r="K60" s="127">
        <f ca="1">IF(tbl_ORCL[[#This Row],[BB_Mean]]="", "", tbl_ORCL[[#This Row],[BB_Mean]]+(BB_Width*tbl_ORCL[[#This Row],[BB_Stdev]]))</f>
        <v>62.543331182794802</v>
      </c>
      <c r="L60" s="127">
        <f ca="1">IF(tbl_ORCL[[#This Row],[BB_Mean]]="", "", tbl_ORCL[[#This Row],[BB_Mean]]-(BB_Width*tbl_ORCL[[#This Row],[BB_Stdev]]))</f>
        <v>57.3766688172052</v>
      </c>
      <c r="M60" s="50">
        <f>IF(ROW(tbl_ORCL[[#This Row],[Adj Close]])=5, 0, $F60-$F59)</f>
        <v>-0.41000000000000369</v>
      </c>
      <c r="N60" s="50">
        <f>MAX(tbl_ORCL[[#This Row],[Move]],0)</f>
        <v>0</v>
      </c>
      <c r="O60" s="50">
        <f>MAX(-tbl_ORCL[[#This Row],[Move]],0)</f>
        <v>0.41000000000000369</v>
      </c>
      <c r="P60" s="50">
        <f ca="1">IF(ROW($N60)-5&lt;RSI_Periods, "", AVERAGE(INDIRECT(ADDRESS(ROW($N60)-RSI_Periods +1, MATCH("Upmove", Price_Header,0))): INDIRECT(ADDRESS(ROW($N60),MATCH("Upmove", Price_Header,0)))))</f>
        <v>8.7857142857142634E-2</v>
      </c>
      <c r="Q60" s="50">
        <f ca="1">IF(ROW($O60)-5&lt;RSI_Periods, "", AVERAGE(INDIRECT(ADDRESS(ROW($O60)-RSI_Periods +1, MATCH("Downmove", Price_Header,0))): INDIRECT(ADDRESS(ROW($O60),MATCH("Downmove", Price_Header,0)))))</f>
        <v>0.33857142857142869</v>
      </c>
      <c r="R60" s="50">
        <f ca="1">IF(tbl_ORCL[[#This Row],[Avg_Upmove]]="", "", tbl_ORCL[[#This Row],[Avg_Upmove]]/tbl_ORCL[[#This Row],[Avg_Downmove]])</f>
        <v>0.25949367088607522</v>
      </c>
      <c r="S60" s="127">
        <f ca="1">IF(ROW($N60)-4&lt;BB_Periods, "", _xlfn.STDEV.S(INDIRECT(ADDRESS(ROW($F60)-RSI_Periods +1, MATCH("Adj Close", Price_Header,0))): INDIRECT(ADDRESS(ROW($F60),MATCH("Adj Close", Price_Header,0)))))</f>
        <v>1.291665591397402</v>
      </c>
    </row>
    <row r="61" spans="1:19" x14ac:dyDescent="0.35">
      <c r="A61" s="8">
        <v>44132</v>
      </c>
      <c r="B61" s="10">
        <v>56.27</v>
      </c>
      <c r="C61" s="10">
        <v>56.6</v>
      </c>
      <c r="D61" s="10">
        <v>55.53</v>
      </c>
      <c r="E61" s="10">
        <v>55.59</v>
      </c>
      <c r="F61" s="10">
        <v>55.59</v>
      </c>
      <c r="G61">
        <v>13910600</v>
      </c>
      <c r="H61" s="127">
        <f>IF(tbl_ORCL[[#This Row],[Date]]=$A$5, $F61, EMA_Beta*$H60 + (1-EMA_Beta)*$F61)</f>
        <v>59.046305928216199</v>
      </c>
      <c r="I61" s="50">
        <f ca="1">IF(tbl_ORCL[[#This Row],[RS]]= "", "", 100-(100/(1+tbl_ORCL[[#This Row],[RS]])))</f>
        <v>12.988826815642469</v>
      </c>
      <c r="J61" s="127">
        <f ca="1">IF(ROW($N61)-4&lt;BB_Periods, "", AVERAGE(INDIRECT(ADDRESS(ROW($F61)-RSI_Periods +1, MATCH("Adj Close", Price_Header,0))): INDIRECT(ADDRESS(ROW($F61),MATCH("Adj Close", Price_Header,0)))))</f>
        <v>59.581428571428567</v>
      </c>
      <c r="K61" s="127">
        <f ca="1">IF(tbl_ORCL[[#This Row],[BB_Mean]]="", "", tbl_ORCL[[#This Row],[BB_Mean]]+(BB_Width*tbl_ORCL[[#This Row],[BB_Stdev]]))</f>
        <v>62.996993461235746</v>
      </c>
      <c r="L61" s="127">
        <f ca="1">IF(tbl_ORCL[[#This Row],[BB_Mean]]="", "", tbl_ORCL[[#This Row],[BB_Mean]]-(BB_Width*tbl_ORCL[[#This Row],[BB_Stdev]]))</f>
        <v>56.165863681621389</v>
      </c>
      <c r="M61" s="50">
        <f>IF(ROW(tbl_ORCL[[#This Row],[Adj Close]])=5, 0, $F61-$F60)</f>
        <v>-1.4899999999999949</v>
      </c>
      <c r="N61" s="50">
        <f>MAX(tbl_ORCL[[#This Row],[Move]],0)</f>
        <v>0</v>
      </c>
      <c r="O61" s="50">
        <f>MAX(-tbl_ORCL[[#This Row],[Move]],0)</f>
        <v>1.4899999999999949</v>
      </c>
      <c r="P61" s="50">
        <f ca="1">IF(ROW($N61)-5&lt;RSI_Periods, "", AVERAGE(INDIRECT(ADDRESS(ROW($N61)-RSI_Periods +1, MATCH("Upmove", Price_Header,0))): INDIRECT(ADDRESS(ROW($N61),MATCH("Upmove", Price_Header,0)))))</f>
        <v>6.6428571428571406E-2</v>
      </c>
      <c r="Q61" s="50">
        <f ca="1">IF(ROW($O61)-5&lt;RSI_Periods, "", AVERAGE(INDIRECT(ADDRESS(ROW($O61)-RSI_Periods +1, MATCH("Downmove", Price_Header,0))): INDIRECT(ADDRESS(ROW($O61),MATCH("Downmove", Price_Header,0)))))</f>
        <v>0.44499999999999978</v>
      </c>
      <c r="R61" s="50">
        <f ca="1">IF(tbl_ORCL[[#This Row],[Avg_Upmove]]="", "", tbl_ORCL[[#This Row],[Avg_Upmove]]/tbl_ORCL[[#This Row],[Avg_Downmove]])</f>
        <v>0.14927768860353133</v>
      </c>
      <c r="S61" s="127">
        <f ca="1">IF(ROW($N61)-4&lt;BB_Periods, "", _xlfn.STDEV.S(INDIRECT(ADDRESS(ROW($F61)-RSI_Periods +1, MATCH("Adj Close", Price_Header,0))): INDIRECT(ADDRESS(ROW($F61),MATCH("Adj Close", Price_Header,0)))))</f>
        <v>1.7077824449035881</v>
      </c>
    </row>
    <row r="62" spans="1:19" x14ac:dyDescent="0.35">
      <c r="A62" s="8">
        <v>44133</v>
      </c>
      <c r="B62" s="10">
        <v>55.2</v>
      </c>
      <c r="C62" s="10">
        <v>56.76</v>
      </c>
      <c r="D62" s="10">
        <v>55.14</v>
      </c>
      <c r="E62" s="10">
        <v>56.02</v>
      </c>
      <c r="F62" s="10">
        <v>56.02</v>
      </c>
      <c r="G62">
        <v>13573700</v>
      </c>
      <c r="H62" s="127">
        <f>IF(tbl_ORCL[[#This Row],[Date]]=$A$5, $F62, EMA_Beta*$H61 + (1-EMA_Beta)*$F62)</f>
        <v>58.743675335394578</v>
      </c>
      <c r="I62" s="50">
        <f ca="1">IF(tbl_ORCL[[#This Row],[RS]]= "", "", 100-(100/(1+tbl_ORCL[[#This Row],[RS]])))</f>
        <v>15.006821282401106</v>
      </c>
      <c r="J62" s="127">
        <f ca="1">IF(ROW($N62)-4&lt;BB_Periods, "", AVERAGE(INDIRECT(ADDRESS(ROW($F62)-RSI_Periods +1, MATCH("Adj Close", Price_Header,0))): INDIRECT(ADDRESS(ROW($F62),MATCH("Adj Close", Price_Header,0)))))</f>
        <v>59.215000000000011</v>
      </c>
      <c r="K62" s="127">
        <f ca="1">IF(tbl_ORCL[[#This Row],[BB_Mean]]="", "", tbl_ORCL[[#This Row],[BB_Mean]]+(BB_Width*tbl_ORCL[[#This Row],[BB_Stdev]]))</f>
        <v>62.987709697490459</v>
      </c>
      <c r="L62" s="127">
        <f ca="1">IF(tbl_ORCL[[#This Row],[BB_Mean]]="", "", tbl_ORCL[[#This Row],[BB_Mean]]-(BB_Width*tbl_ORCL[[#This Row],[BB_Stdev]]))</f>
        <v>55.442290302509562</v>
      </c>
      <c r="M62" s="50">
        <f>IF(ROW(tbl_ORCL[[#This Row],[Adj Close]])=5, 0, $F62-$F61)</f>
        <v>0.42999999999999972</v>
      </c>
      <c r="N62" s="50">
        <f>MAX(tbl_ORCL[[#This Row],[Move]],0)</f>
        <v>0.42999999999999972</v>
      </c>
      <c r="O62" s="50">
        <f>MAX(-tbl_ORCL[[#This Row],[Move]],0)</f>
        <v>0</v>
      </c>
      <c r="P62" s="50">
        <f ca="1">IF(ROW($N62)-5&lt;RSI_Periods, "", AVERAGE(INDIRECT(ADDRESS(ROW($N62)-RSI_Periods +1, MATCH("Upmove", Price_Header,0))): INDIRECT(ADDRESS(ROW($N62),MATCH("Upmove", Price_Header,0)))))</f>
        <v>7.8571428571428667E-2</v>
      </c>
      <c r="Q62" s="50">
        <f ca="1">IF(ROW($O62)-5&lt;RSI_Periods, "", AVERAGE(INDIRECT(ADDRESS(ROW($O62)-RSI_Periods +1, MATCH("Downmove", Price_Header,0))): INDIRECT(ADDRESS(ROW($O62),MATCH("Downmove", Price_Header,0)))))</f>
        <v>0.44499999999999978</v>
      </c>
      <c r="R62" s="50">
        <f ca="1">IF(tbl_ORCL[[#This Row],[Avg_Upmove]]="", "", tbl_ORCL[[#This Row],[Avg_Upmove]]/tbl_ORCL[[#This Row],[Avg_Downmove]])</f>
        <v>0.17656500802568248</v>
      </c>
      <c r="S62" s="127">
        <f ca="1">IF(ROW($N62)-4&lt;BB_Periods, "", _xlfn.STDEV.S(INDIRECT(ADDRESS(ROW($F62)-RSI_Periods +1, MATCH("Adj Close", Price_Header,0))): INDIRECT(ADDRESS(ROW($F62),MATCH("Adj Close", Price_Header,0)))))</f>
        <v>1.8863548487452229</v>
      </c>
    </row>
    <row r="63" spans="1:19" x14ac:dyDescent="0.35">
      <c r="A63" s="8">
        <v>44134</v>
      </c>
      <c r="B63" s="10">
        <v>55.75</v>
      </c>
      <c r="C63" s="10">
        <v>56.64</v>
      </c>
      <c r="D63" s="10">
        <v>55.45</v>
      </c>
      <c r="E63" s="10">
        <v>56.11</v>
      </c>
      <c r="F63" s="10">
        <v>56.11</v>
      </c>
      <c r="G63">
        <v>12602300</v>
      </c>
      <c r="H63" s="127">
        <f>IF(tbl_ORCL[[#This Row],[Date]]=$A$5, $F63, EMA_Beta*$H62 + (1-EMA_Beta)*$F63)</f>
        <v>58.480307801855119</v>
      </c>
      <c r="I63" s="50">
        <f ca="1">IF(tbl_ORCL[[#This Row],[RS]]= "", "", 100-(100/(1+tbl_ORCL[[#This Row],[RS]])))</f>
        <v>12.376933895921198</v>
      </c>
      <c r="J63" s="127">
        <f ca="1">IF(ROW($N63)-4&lt;BB_Periods, "", AVERAGE(INDIRECT(ADDRESS(ROW($F63)-RSI_Periods +1, MATCH("Adj Close", Price_Header,0))): INDIRECT(ADDRESS(ROW($F63),MATCH("Adj Close", Price_Header,0)))))</f>
        <v>58.832857142857151</v>
      </c>
      <c r="K63" s="127">
        <f ca="1">IF(tbl_ORCL[[#This Row],[BB_Mean]]="", "", tbl_ORCL[[#This Row],[BB_Mean]]+(BB_Width*tbl_ORCL[[#This Row],[BB_Stdev]]))</f>
        <v>62.708417081132502</v>
      </c>
      <c r="L63" s="127">
        <f ca="1">IF(tbl_ORCL[[#This Row],[BB_Mean]]="", "", tbl_ORCL[[#This Row],[BB_Mean]]-(BB_Width*tbl_ORCL[[#This Row],[BB_Stdev]]))</f>
        <v>54.957297204581799</v>
      </c>
      <c r="M63" s="50">
        <f>IF(ROW(tbl_ORCL[[#This Row],[Adj Close]])=5, 0, $F63-$F62)</f>
        <v>8.9999999999996305E-2</v>
      </c>
      <c r="N63" s="50">
        <f>MAX(tbl_ORCL[[#This Row],[Move]],0)</f>
        <v>8.9999999999996305E-2</v>
      </c>
      <c r="O63" s="50">
        <f>MAX(-tbl_ORCL[[#This Row],[Move]],0)</f>
        <v>0</v>
      </c>
      <c r="P63" s="50">
        <f ca="1">IF(ROW($N63)-5&lt;RSI_Periods, "", AVERAGE(INDIRECT(ADDRESS(ROW($N63)-RSI_Periods +1, MATCH("Upmove", Price_Header,0))): INDIRECT(ADDRESS(ROW($N63),MATCH("Upmove", Price_Header,0)))))</f>
        <v>6.2857142857142528E-2</v>
      </c>
      <c r="Q63" s="50">
        <f ca="1">IF(ROW($O63)-5&lt;RSI_Periods, "", AVERAGE(INDIRECT(ADDRESS(ROW($O63)-RSI_Periods +1, MATCH("Downmove", Price_Header,0))): INDIRECT(ADDRESS(ROW($O63),MATCH("Downmove", Price_Header,0)))))</f>
        <v>0.44499999999999978</v>
      </c>
      <c r="R63" s="50">
        <f ca="1">IF(tbl_ORCL[[#This Row],[Avg_Upmove]]="", "", tbl_ORCL[[#This Row],[Avg_Upmove]]/tbl_ORCL[[#This Row],[Avg_Downmove]])</f>
        <v>0.14125200642054508</v>
      </c>
      <c r="S63" s="127">
        <f ca="1">IF(ROW($N63)-4&lt;BB_Periods, "", _xlfn.STDEV.S(INDIRECT(ADDRESS(ROW($F63)-RSI_Periods +1, MATCH("Adj Close", Price_Header,0))): INDIRECT(ADDRESS(ROW($F63),MATCH("Adj Close", Price_Header,0)))))</f>
        <v>1.9377799691376743</v>
      </c>
    </row>
    <row r="64" spans="1:19" x14ac:dyDescent="0.35">
      <c r="A64" s="8">
        <v>44137</v>
      </c>
      <c r="B64" s="10">
        <v>56.44</v>
      </c>
      <c r="C64" s="10">
        <v>57.47</v>
      </c>
      <c r="D64" s="10">
        <v>56.12</v>
      </c>
      <c r="E64" s="10">
        <v>56.45</v>
      </c>
      <c r="F64" s="10">
        <v>56.45</v>
      </c>
      <c r="G64">
        <v>11413200</v>
      </c>
      <c r="H64" s="127">
        <f>IF(tbl_ORCL[[#This Row],[Date]]=$A$5, $F64, EMA_Beta*$H63 + (1-EMA_Beta)*$F64)</f>
        <v>58.277277021669605</v>
      </c>
      <c r="I64" s="50">
        <f ca="1">IF(tbl_ORCL[[#This Row],[RS]]= "", "", 100-(100/(1+tbl_ORCL[[#This Row],[RS]])))</f>
        <v>17.52873563218391</v>
      </c>
      <c r="J64" s="127">
        <f ca="1">IF(ROW($N64)-4&lt;BB_Periods, "", AVERAGE(INDIRECT(ADDRESS(ROW($F64)-RSI_Periods +1, MATCH("Adj Close", Price_Header,0))): INDIRECT(ADDRESS(ROW($F64),MATCH("Adj Close", Price_Header,0)))))</f>
        <v>58.510000000000005</v>
      </c>
      <c r="K64" s="127">
        <f ca="1">IF(tbl_ORCL[[#This Row],[BB_Mean]]="", "", tbl_ORCL[[#This Row],[BB_Mean]]+(BB_Width*tbl_ORCL[[#This Row],[BB_Stdev]]))</f>
        <v>62.371693530444503</v>
      </c>
      <c r="L64" s="127">
        <f ca="1">IF(tbl_ORCL[[#This Row],[BB_Mean]]="", "", tbl_ORCL[[#This Row],[BB_Mean]]-(BB_Width*tbl_ORCL[[#This Row],[BB_Stdev]]))</f>
        <v>54.648306469555507</v>
      </c>
      <c r="M64" s="50">
        <f>IF(ROW(tbl_ORCL[[#This Row],[Adj Close]])=5, 0, $F64-$F63)</f>
        <v>0.34000000000000341</v>
      </c>
      <c r="N64" s="50">
        <f>MAX(tbl_ORCL[[#This Row],[Move]],0)</f>
        <v>0.34000000000000341</v>
      </c>
      <c r="O64" s="50">
        <f>MAX(-tbl_ORCL[[#This Row],[Move]],0)</f>
        <v>0</v>
      </c>
      <c r="P64" s="50">
        <f ca="1">IF(ROW($N64)-5&lt;RSI_Periods, "", AVERAGE(INDIRECT(ADDRESS(ROW($N64)-RSI_Periods +1, MATCH("Upmove", Price_Header,0))): INDIRECT(ADDRESS(ROW($N64),MATCH("Upmove", Price_Header,0)))))</f>
        <v>8.7142857142857064E-2</v>
      </c>
      <c r="Q64" s="50">
        <f ca="1">IF(ROW($O64)-5&lt;RSI_Periods, "", AVERAGE(INDIRECT(ADDRESS(ROW($O64)-RSI_Periods +1, MATCH("Downmove", Price_Header,0))): INDIRECT(ADDRESS(ROW($O64),MATCH("Downmove", Price_Header,0)))))</f>
        <v>0.40999999999999964</v>
      </c>
      <c r="R64" s="50">
        <f ca="1">IF(tbl_ORCL[[#This Row],[Avg_Upmove]]="", "", tbl_ORCL[[#This Row],[Avg_Upmove]]/tbl_ORCL[[#This Row],[Avg_Downmove]])</f>
        <v>0.21254355400696864</v>
      </c>
      <c r="S64" s="127">
        <f ca="1">IF(ROW($N64)-4&lt;BB_Periods, "", _xlfn.STDEV.S(INDIRECT(ADDRESS(ROW($F64)-RSI_Periods +1, MATCH("Adj Close", Price_Header,0))): INDIRECT(ADDRESS(ROW($F64),MATCH("Adj Close", Price_Header,0)))))</f>
        <v>1.9308467652222499</v>
      </c>
    </row>
    <row r="65" spans="1:19" x14ac:dyDescent="0.35">
      <c r="A65" s="8">
        <v>44138</v>
      </c>
      <c r="B65" s="10">
        <v>57</v>
      </c>
      <c r="C65" s="10">
        <v>57.5</v>
      </c>
      <c r="D65" s="10">
        <v>56.57</v>
      </c>
      <c r="E65" s="10">
        <v>56.8</v>
      </c>
      <c r="F65" s="10">
        <v>56.8</v>
      </c>
      <c r="G65">
        <v>8911200</v>
      </c>
      <c r="H65" s="127">
        <f>IF(tbl_ORCL[[#This Row],[Date]]=$A$5, $F65, EMA_Beta*$H64 + (1-EMA_Beta)*$F65)</f>
        <v>58.129549319502644</v>
      </c>
      <c r="I65" s="50">
        <f ca="1">IF(tbl_ORCL[[#This Row],[RS]]= "", "", 100-(100/(1+tbl_ORCL[[#This Row],[RS]])))</f>
        <v>21.506849315068422</v>
      </c>
      <c r="J65" s="127">
        <f ca="1">IF(ROW($N65)-4&lt;BB_Periods, "", AVERAGE(INDIRECT(ADDRESS(ROW($F65)-RSI_Periods +1, MATCH("Adj Close", Price_Header,0))): INDIRECT(ADDRESS(ROW($F65),MATCH("Adj Close", Price_Header,0)))))</f>
        <v>58.212857142857146</v>
      </c>
      <c r="K65" s="127">
        <f ca="1">IF(tbl_ORCL[[#This Row],[BB_Mean]]="", "", tbl_ORCL[[#This Row],[BB_Mean]]+(BB_Width*tbl_ORCL[[#This Row],[BB_Stdev]]))</f>
        <v>61.898658828506285</v>
      </c>
      <c r="L65" s="127">
        <f ca="1">IF(tbl_ORCL[[#This Row],[BB_Mean]]="", "", tbl_ORCL[[#This Row],[BB_Mean]]-(BB_Width*tbl_ORCL[[#This Row],[BB_Stdev]]))</f>
        <v>54.527055457208007</v>
      </c>
      <c r="M65" s="50">
        <f>IF(ROW(tbl_ORCL[[#This Row],[Adj Close]])=5, 0, $F65-$F64)</f>
        <v>0.34999999999999432</v>
      </c>
      <c r="N65" s="50">
        <f>MAX(tbl_ORCL[[#This Row],[Move]],0)</f>
        <v>0.34999999999999432</v>
      </c>
      <c r="O65" s="50">
        <f>MAX(-tbl_ORCL[[#This Row],[Move]],0)</f>
        <v>0</v>
      </c>
      <c r="P65" s="50">
        <f ca="1">IF(ROW($N65)-5&lt;RSI_Periods, "", AVERAGE(INDIRECT(ADDRESS(ROW($N65)-RSI_Periods +1, MATCH("Upmove", Price_Header,0))): INDIRECT(ADDRESS(ROW($N65),MATCH("Upmove", Price_Header,0)))))</f>
        <v>0.11214285714285666</v>
      </c>
      <c r="Q65" s="50">
        <f ca="1">IF(ROW($O65)-5&lt;RSI_Periods, "", AVERAGE(INDIRECT(ADDRESS(ROW($O65)-RSI_Periods +1, MATCH("Downmove", Price_Header,0))): INDIRECT(ADDRESS(ROW($O65),MATCH("Downmove", Price_Header,0)))))</f>
        <v>0.40928571428571409</v>
      </c>
      <c r="R65" s="50">
        <f ca="1">IF(tbl_ORCL[[#This Row],[Avg_Upmove]]="", "", tbl_ORCL[[#This Row],[Avg_Upmove]]/tbl_ORCL[[#This Row],[Avg_Downmove]])</f>
        <v>0.27399650959860278</v>
      </c>
      <c r="S65" s="127">
        <f ca="1">IF(ROW($N65)-4&lt;BB_Periods, "", _xlfn.STDEV.S(INDIRECT(ADDRESS(ROW($F65)-RSI_Periods +1, MATCH("Adj Close", Price_Header,0))): INDIRECT(ADDRESS(ROW($F65),MATCH("Adj Close", Price_Header,0)))))</f>
        <v>1.8429008428245708</v>
      </c>
    </row>
    <row r="66" spans="1:19" x14ac:dyDescent="0.35">
      <c r="A66" s="8">
        <v>44139</v>
      </c>
      <c r="B66" s="10">
        <v>58</v>
      </c>
      <c r="C66" s="10">
        <v>58.09</v>
      </c>
      <c r="D66" s="10">
        <v>56.35</v>
      </c>
      <c r="E66" s="10">
        <v>56.49</v>
      </c>
      <c r="F66" s="10">
        <v>56.49</v>
      </c>
      <c r="G66">
        <v>12054900</v>
      </c>
      <c r="H66" s="127">
        <f>IF(tbl_ORCL[[#This Row],[Date]]=$A$5, $F66, EMA_Beta*$H65 + (1-EMA_Beta)*$F66)</f>
        <v>57.965594387552379</v>
      </c>
      <c r="I66" s="50">
        <f ca="1">IF(tbl_ORCL[[#This Row],[RS]]= "", "", 100-(100/(1+tbl_ORCL[[#This Row],[RS]])))</f>
        <v>21.896792189679161</v>
      </c>
      <c r="J66" s="127">
        <f ca="1">IF(ROW($N66)-4&lt;BB_Periods, "", AVERAGE(INDIRECT(ADDRESS(ROW($F66)-RSI_Periods +1, MATCH("Adj Close", Price_Header,0))): INDIRECT(ADDRESS(ROW($F66),MATCH("Adj Close", Price_Header,0)))))</f>
        <v>57.924999999999997</v>
      </c>
      <c r="K66" s="127">
        <f ca="1">IF(tbl_ORCL[[#This Row],[BB_Mean]]="", "", tbl_ORCL[[#This Row],[BB_Mean]]+(BB_Width*tbl_ORCL[[#This Row],[BB_Stdev]]))</f>
        <v>61.461053863147008</v>
      </c>
      <c r="L66" s="127">
        <f ca="1">IF(tbl_ORCL[[#This Row],[BB_Mean]]="", "", tbl_ORCL[[#This Row],[BB_Mean]]-(BB_Width*tbl_ORCL[[#This Row],[BB_Stdev]]))</f>
        <v>54.388946136852987</v>
      </c>
      <c r="M66" s="50">
        <f>IF(ROW(tbl_ORCL[[#This Row],[Adj Close]])=5, 0, $F66-$F65)</f>
        <v>-0.30999999999999517</v>
      </c>
      <c r="N66" s="50">
        <f>MAX(tbl_ORCL[[#This Row],[Move]],0)</f>
        <v>0</v>
      </c>
      <c r="O66" s="50">
        <f>MAX(-tbl_ORCL[[#This Row],[Move]],0)</f>
        <v>0.30999999999999517</v>
      </c>
      <c r="P66" s="50">
        <f ca="1">IF(ROW($N66)-5&lt;RSI_Periods, "", AVERAGE(INDIRECT(ADDRESS(ROW($N66)-RSI_Periods +1, MATCH("Upmove", Price_Header,0))): INDIRECT(ADDRESS(ROW($N66),MATCH("Upmove", Price_Header,0)))))</f>
        <v>0.11214285714285666</v>
      </c>
      <c r="Q66" s="50">
        <f ca="1">IF(ROW($O66)-5&lt;RSI_Periods, "", AVERAGE(INDIRECT(ADDRESS(ROW($O66)-RSI_Periods +1, MATCH("Downmove", Price_Header,0))): INDIRECT(ADDRESS(ROW($O66),MATCH("Downmove", Price_Header,0)))))</f>
        <v>0.39999999999999958</v>
      </c>
      <c r="R66" s="50">
        <f ca="1">IF(tbl_ORCL[[#This Row],[Avg_Upmove]]="", "", tbl_ORCL[[#This Row],[Avg_Upmove]]/tbl_ORCL[[#This Row],[Avg_Downmove]])</f>
        <v>0.28035714285714192</v>
      </c>
      <c r="S66" s="127">
        <f ca="1">IF(ROW($N66)-4&lt;BB_Periods, "", _xlfn.STDEV.S(INDIRECT(ADDRESS(ROW($F66)-RSI_Periods +1, MATCH("Adj Close", Price_Header,0))): INDIRECT(ADDRESS(ROW($F66),MATCH("Adj Close", Price_Header,0)))))</f>
        <v>1.768026931573506</v>
      </c>
    </row>
    <row r="67" spans="1:19" x14ac:dyDescent="0.35">
      <c r="A67" s="8">
        <v>44140</v>
      </c>
      <c r="B67" s="10">
        <v>57.46</v>
      </c>
      <c r="C67" s="10">
        <v>57.65</v>
      </c>
      <c r="D67" s="10">
        <v>56.42</v>
      </c>
      <c r="E67" s="10">
        <v>56.66</v>
      </c>
      <c r="F67" s="10">
        <v>56.66</v>
      </c>
      <c r="G67">
        <v>9017100</v>
      </c>
      <c r="H67" s="127">
        <f>IF(tbl_ORCL[[#This Row],[Date]]=$A$5, $F67, EMA_Beta*$H66 + (1-EMA_Beta)*$F67)</f>
        <v>57.835034948797137</v>
      </c>
      <c r="I67" s="50">
        <f ca="1">IF(tbl_ORCL[[#This Row],[RS]]= "", "", 100-(100/(1+tbl_ORCL[[#This Row],[RS]])))</f>
        <v>24.47257383966236</v>
      </c>
      <c r="J67" s="127">
        <f ca="1">IF(ROW($N67)-4&lt;BB_Periods, "", AVERAGE(INDIRECT(ADDRESS(ROW($F67)-RSI_Periods +1, MATCH("Adj Close", Price_Header,0))): INDIRECT(ADDRESS(ROW($F67),MATCH("Adj Close", Price_Header,0)))))</f>
        <v>57.66571428571428</v>
      </c>
      <c r="K67" s="127">
        <f ca="1">IF(tbl_ORCL[[#This Row],[BB_Mean]]="", "", tbl_ORCL[[#This Row],[BB_Mean]]+(BB_Width*tbl_ORCL[[#This Row],[BB_Stdev]]))</f>
        <v>60.980146264298142</v>
      </c>
      <c r="L67" s="127">
        <f ca="1">IF(tbl_ORCL[[#This Row],[BB_Mean]]="", "", tbl_ORCL[[#This Row],[BB_Mean]]-(BB_Width*tbl_ORCL[[#This Row],[BB_Stdev]]))</f>
        <v>54.351282307130418</v>
      </c>
      <c r="M67" s="50">
        <f>IF(ROW(tbl_ORCL[[#This Row],[Adj Close]])=5, 0, $F67-$F66)</f>
        <v>0.1699999999999946</v>
      </c>
      <c r="N67" s="50">
        <f>MAX(tbl_ORCL[[#This Row],[Move]],0)</f>
        <v>0.1699999999999946</v>
      </c>
      <c r="O67" s="50">
        <f>MAX(-tbl_ORCL[[#This Row],[Move]],0)</f>
        <v>0</v>
      </c>
      <c r="P67" s="50">
        <f ca="1">IF(ROW($N67)-5&lt;RSI_Periods, "", AVERAGE(INDIRECT(ADDRESS(ROW($N67)-RSI_Periods +1, MATCH("Upmove", Price_Header,0))): INDIRECT(ADDRESS(ROW($N67),MATCH("Upmove", Price_Header,0)))))</f>
        <v>0.12428571428571342</v>
      </c>
      <c r="Q67" s="50">
        <f ca="1">IF(ROW($O67)-5&lt;RSI_Periods, "", AVERAGE(INDIRECT(ADDRESS(ROW($O67)-RSI_Periods +1, MATCH("Downmove", Price_Header,0))): INDIRECT(ADDRESS(ROW($O67),MATCH("Downmove", Price_Header,0)))))</f>
        <v>0.3835714285714279</v>
      </c>
      <c r="R67" s="50">
        <f ca="1">IF(tbl_ORCL[[#This Row],[Avg_Upmove]]="", "", tbl_ORCL[[#This Row],[Avg_Upmove]]/tbl_ORCL[[#This Row],[Avg_Downmove]])</f>
        <v>0.32402234636871341</v>
      </c>
      <c r="S67" s="127">
        <f ca="1">IF(ROW($N67)-4&lt;BB_Periods, "", _xlfn.STDEV.S(INDIRECT(ADDRESS(ROW($F67)-RSI_Periods +1, MATCH("Adj Close", Price_Header,0))): INDIRECT(ADDRESS(ROW($F67),MATCH("Adj Close", Price_Header,0)))))</f>
        <v>1.6572159892919305</v>
      </c>
    </row>
    <row r="68" spans="1:19" x14ac:dyDescent="0.35">
      <c r="A68" s="8">
        <v>44141</v>
      </c>
      <c r="B68" s="10">
        <v>56.77</v>
      </c>
      <c r="C68" s="10">
        <v>56.98</v>
      </c>
      <c r="D68" s="10">
        <v>56.15</v>
      </c>
      <c r="E68" s="10">
        <v>56.8</v>
      </c>
      <c r="F68" s="10">
        <v>56.8</v>
      </c>
      <c r="G68">
        <v>7510400</v>
      </c>
      <c r="H68" s="127">
        <f>IF(tbl_ORCL[[#This Row],[Date]]=$A$5, $F68, EMA_Beta*$H67 + (1-EMA_Beta)*$F68)</f>
        <v>57.731531453917427</v>
      </c>
      <c r="I68" s="50">
        <f ca="1">IF(tbl_ORCL[[#This Row],[RS]]= "", "", 100-(100/(1+tbl_ORCL[[#This Row],[RS]])))</f>
        <v>28.571428571428498</v>
      </c>
      <c r="J68" s="127">
        <f ca="1">IF(ROW($N68)-4&lt;BB_Periods, "", AVERAGE(INDIRECT(ADDRESS(ROW($F68)-RSI_Periods +1, MATCH("Adj Close", Price_Header,0))): INDIRECT(ADDRESS(ROW($F68),MATCH("Adj Close", Price_Header,0)))))</f>
        <v>57.464285714285708</v>
      </c>
      <c r="K68" s="127">
        <f ca="1">IF(tbl_ORCL[[#This Row],[BB_Mean]]="", "", tbl_ORCL[[#This Row],[BB_Mean]]+(BB_Width*tbl_ORCL[[#This Row],[BB_Stdev]]))</f>
        <v>60.605326348173826</v>
      </c>
      <c r="L68" s="127">
        <f ca="1">IF(tbl_ORCL[[#This Row],[BB_Mean]]="", "", tbl_ORCL[[#This Row],[BB_Mean]]-(BB_Width*tbl_ORCL[[#This Row],[BB_Stdev]]))</f>
        <v>54.323245080397591</v>
      </c>
      <c r="M68" s="50">
        <f>IF(ROW(tbl_ORCL[[#This Row],[Adj Close]])=5, 0, $F68-$F67)</f>
        <v>0.14000000000000057</v>
      </c>
      <c r="N68" s="50">
        <f>MAX(tbl_ORCL[[#This Row],[Move]],0)</f>
        <v>0.14000000000000057</v>
      </c>
      <c r="O68" s="50">
        <f>MAX(-tbl_ORCL[[#This Row],[Move]],0)</f>
        <v>0</v>
      </c>
      <c r="P68" s="50">
        <f ca="1">IF(ROW($N68)-5&lt;RSI_Periods, "", AVERAGE(INDIRECT(ADDRESS(ROW($N68)-RSI_Periods +1, MATCH("Upmove", Price_Header,0))): INDIRECT(ADDRESS(ROW($N68),MATCH("Upmove", Price_Header,0)))))</f>
        <v>0.13428571428571345</v>
      </c>
      <c r="Q68" s="50">
        <f ca="1">IF(ROW($O68)-5&lt;RSI_Periods, "", AVERAGE(INDIRECT(ADDRESS(ROW($O68)-RSI_Periods +1, MATCH("Downmove", Price_Header,0))): INDIRECT(ADDRESS(ROW($O68),MATCH("Downmove", Price_Header,0)))))</f>
        <v>0.33571428571428491</v>
      </c>
      <c r="R68" s="50">
        <f ca="1">IF(tbl_ORCL[[#This Row],[Avg_Upmove]]="", "", tbl_ORCL[[#This Row],[Avg_Upmove]]/tbl_ORCL[[#This Row],[Avg_Downmove]])</f>
        <v>0.39999999999999847</v>
      </c>
      <c r="S68" s="127">
        <f ca="1">IF(ROW($N68)-4&lt;BB_Periods, "", _xlfn.STDEV.S(INDIRECT(ADDRESS(ROW($F68)-RSI_Periods +1, MATCH("Adj Close", Price_Header,0))): INDIRECT(ADDRESS(ROW($F68),MATCH("Adj Close", Price_Header,0)))))</f>
        <v>1.5705203169440578</v>
      </c>
    </row>
    <row r="69" spans="1:19" x14ac:dyDescent="0.35">
      <c r="A69" s="8">
        <v>44144</v>
      </c>
      <c r="B69" s="10">
        <v>58.19</v>
      </c>
      <c r="C69" s="10">
        <v>59.08</v>
      </c>
      <c r="D69" s="10">
        <v>56.77</v>
      </c>
      <c r="E69" s="10">
        <v>56.84</v>
      </c>
      <c r="F69" s="10">
        <v>56.84</v>
      </c>
      <c r="G69">
        <v>11486600</v>
      </c>
      <c r="H69" s="127">
        <f>IF(tbl_ORCL[[#This Row],[Date]]=$A$5, $F69, EMA_Beta*$H68 + (1-EMA_Beta)*$F69)</f>
        <v>57.642378308525686</v>
      </c>
      <c r="I69" s="50">
        <f ca="1">IF(tbl_ORCL[[#This Row],[RS]]= "", "", 100-(100/(1+tbl_ORCL[[#This Row],[RS]])))</f>
        <v>27.580893682588552</v>
      </c>
      <c r="J69" s="127">
        <f ca="1">IF(ROW($N69)-4&lt;BB_Periods, "", AVERAGE(INDIRECT(ADDRESS(ROW($F69)-RSI_Periods +1, MATCH("Adj Close", Price_Header,0))): INDIRECT(ADDRESS(ROW($F69),MATCH("Adj Close", Price_Header,0)))))</f>
        <v>57.256428571428565</v>
      </c>
      <c r="K69" s="127">
        <f ca="1">IF(tbl_ORCL[[#This Row],[BB_Mean]]="", "", tbl_ORCL[[#This Row],[BB_Mean]]+(BB_Width*tbl_ORCL[[#This Row],[BB_Stdev]]))</f>
        <v>60.118666610691996</v>
      </c>
      <c r="L69" s="127">
        <f ca="1">IF(tbl_ORCL[[#This Row],[BB_Mean]]="", "", tbl_ORCL[[#This Row],[BB_Mean]]-(BB_Width*tbl_ORCL[[#This Row],[BB_Stdev]]))</f>
        <v>54.394190532165133</v>
      </c>
      <c r="M69" s="50">
        <f>IF(ROW(tbl_ORCL[[#This Row],[Adj Close]])=5, 0, $F69-$F68)</f>
        <v>4.0000000000006253E-2</v>
      </c>
      <c r="N69" s="50">
        <f>MAX(tbl_ORCL[[#This Row],[Move]],0)</f>
        <v>4.0000000000006253E-2</v>
      </c>
      <c r="O69" s="50">
        <f>MAX(-tbl_ORCL[[#This Row],[Move]],0)</f>
        <v>0</v>
      </c>
      <c r="P69" s="50">
        <f ca="1">IF(ROW($N69)-5&lt;RSI_Periods, "", AVERAGE(INDIRECT(ADDRESS(ROW($N69)-RSI_Periods +1, MATCH("Upmove", Price_Header,0))): INDIRECT(ADDRESS(ROW($N69),MATCH("Upmove", Price_Header,0)))))</f>
        <v>0.12785714285714228</v>
      </c>
      <c r="Q69" s="50">
        <f ca="1">IF(ROW($O69)-5&lt;RSI_Periods, "", AVERAGE(INDIRECT(ADDRESS(ROW($O69)-RSI_Periods +1, MATCH("Downmove", Price_Header,0))): INDIRECT(ADDRESS(ROW($O69),MATCH("Downmove", Price_Header,0)))))</f>
        <v>0.33571428571428491</v>
      </c>
      <c r="R69" s="50">
        <f ca="1">IF(tbl_ORCL[[#This Row],[Avg_Upmove]]="", "", tbl_ORCL[[#This Row],[Avg_Upmove]]/tbl_ORCL[[#This Row],[Avg_Downmove]])</f>
        <v>0.38085106382978645</v>
      </c>
      <c r="S69" s="127">
        <f ca="1">IF(ROW($N69)-4&lt;BB_Periods, "", _xlfn.STDEV.S(INDIRECT(ADDRESS(ROW($F69)-RSI_Periods +1, MATCH("Adj Close", Price_Header,0))): INDIRECT(ADDRESS(ROW($F69),MATCH("Adj Close", Price_Header,0)))))</f>
        <v>1.4311190196317165</v>
      </c>
    </row>
    <row r="70" spans="1:19" x14ac:dyDescent="0.35">
      <c r="A70" s="8">
        <v>44145</v>
      </c>
      <c r="B70" s="10">
        <v>56.91</v>
      </c>
      <c r="C70" s="10">
        <v>57.24</v>
      </c>
      <c r="D70" s="10">
        <v>56.2</v>
      </c>
      <c r="E70" s="10">
        <v>56.67</v>
      </c>
      <c r="F70" s="10">
        <v>56.67</v>
      </c>
      <c r="G70">
        <v>9015900</v>
      </c>
      <c r="H70" s="127">
        <f>IF(tbl_ORCL[[#This Row],[Date]]=$A$5, $F70, EMA_Beta*$H69 + (1-EMA_Beta)*$F70)</f>
        <v>57.545140477673122</v>
      </c>
      <c r="I70" s="50">
        <f ca="1">IF(tbl_ORCL[[#This Row],[RS]]= "", "", 100-(100/(1+tbl_ORCL[[#This Row],[RS]])))</f>
        <v>27.203647416413304</v>
      </c>
      <c r="J70" s="127">
        <f ca="1">IF(ROW($N70)-4&lt;BB_Periods, "", AVERAGE(INDIRECT(ADDRESS(ROW($F70)-RSI_Periods +1, MATCH("Adj Close", Price_Header,0))): INDIRECT(ADDRESS(ROW($F70),MATCH("Adj Close", Price_Header,0)))))</f>
        <v>57.042142857142849</v>
      </c>
      <c r="K70" s="127">
        <f ca="1">IF(tbl_ORCL[[#This Row],[BB_Mean]]="", "", tbl_ORCL[[#This Row],[BB_Mean]]+(BB_Width*tbl_ORCL[[#This Row],[BB_Stdev]]))</f>
        <v>59.553718256968821</v>
      </c>
      <c r="L70" s="127">
        <f ca="1">IF(tbl_ORCL[[#This Row],[BB_Mean]]="", "", tbl_ORCL[[#This Row],[BB_Mean]]-(BB_Width*tbl_ORCL[[#This Row],[BB_Stdev]]))</f>
        <v>54.530567457316877</v>
      </c>
      <c r="M70" s="50">
        <f>IF(ROW(tbl_ORCL[[#This Row],[Adj Close]])=5, 0, $F70-$F69)</f>
        <v>-0.17000000000000171</v>
      </c>
      <c r="N70" s="50">
        <f>MAX(tbl_ORCL[[#This Row],[Move]],0)</f>
        <v>0</v>
      </c>
      <c r="O70" s="50">
        <f>MAX(-tbl_ORCL[[#This Row],[Move]],0)</f>
        <v>0.17000000000000171</v>
      </c>
      <c r="P70" s="50">
        <f ca="1">IF(ROW($N70)-5&lt;RSI_Periods, "", AVERAGE(INDIRECT(ADDRESS(ROW($N70)-RSI_Periods +1, MATCH("Upmove", Price_Header,0))): INDIRECT(ADDRESS(ROW($N70),MATCH("Upmove", Price_Header,0)))))</f>
        <v>0.12785714285714228</v>
      </c>
      <c r="Q70" s="50">
        <f ca="1">IF(ROW($O70)-5&lt;RSI_Periods, "", AVERAGE(INDIRECT(ADDRESS(ROW($O70)-RSI_Periods +1, MATCH("Downmove", Price_Header,0))): INDIRECT(ADDRESS(ROW($O70),MATCH("Downmove", Price_Header,0)))))</f>
        <v>0.34214285714285658</v>
      </c>
      <c r="R70" s="50">
        <f ca="1">IF(tbl_ORCL[[#This Row],[Avg_Upmove]]="", "", tbl_ORCL[[#This Row],[Avg_Upmove]]/tbl_ORCL[[#This Row],[Avg_Downmove]])</f>
        <v>0.37369519832985276</v>
      </c>
      <c r="S70" s="127">
        <f ca="1">IF(ROW($N70)-4&lt;BB_Periods, "", _xlfn.STDEV.S(INDIRECT(ADDRESS(ROW($F70)-RSI_Periods +1, MATCH("Adj Close", Price_Header,0))): INDIRECT(ADDRESS(ROW($F70),MATCH("Adj Close", Price_Header,0)))))</f>
        <v>1.2557876999129844</v>
      </c>
    </row>
    <row r="71" spans="1:19" x14ac:dyDescent="0.35">
      <c r="A71" s="8">
        <v>44146</v>
      </c>
      <c r="B71" s="10">
        <v>57.06</v>
      </c>
      <c r="C71" s="10">
        <v>57.63</v>
      </c>
      <c r="D71" s="10">
        <v>56.8</v>
      </c>
      <c r="E71" s="10">
        <v>57.2</v>
      </c>
      <c r="F71" s="10">
        <v>57.2</v>
      </c>
      <c r="G71">
        <v>7724400</v>
      </c>
      <c r="H71" s="127">
        <f>IF(tbl_ORCL[[#This Row],[Date]]=$A$5, $F71, EMA_Beta*$H70 + (1-EMA_Beta)*$F71)</f>
        <v>57.510626429905813</v>
      </c>
      <c r="I71" s="50">
        <f ca="1">IF(tbl_ORCL[[#This Row],[RS]]= "", "", 100-(100/(1+tbl_ORCL[[#This Row],[RS]])))</f>
        <v>32.44005641748943</v>
      </c>
      <c r="J71" s="127">
        <f ca="1">IF(ROW($N71)-4&lt;BB_Periods, "", AVERAGE(INDIRECT(ADDRESS(ROW($F71)-RSI_Periods +1, MATCH("Adj Close", Price_Header,0))): INDIRECT(ADDRESS(ROW($F71),MATCH("Adj Close", Price_Header,0)))))</f>
        <v>56.864285714285714</v>
      </c>
      <c r="K71" s="127">
        <f ca="1">IF(tbl_ORCL[[#This Row],[BB_Mean]]="", "", tbl_ORCL[[#This Row],[BB_Mean]]+(BB_Width*tbl_ORCL[[#This Row],[BB_Stdev]]))</f>
        <v>58.869812144861051</v>
      </c>
      <c r="L71" s="127">
        <f ca="1">IF(tbl_ORCL[[#This Row],[BB_Mean]]="", "", tbl_ORCL[[#This Row],[BB_Mean]]-(BB_Width*tbl_ORCL[[#This Row],[BB_Stdev]]))</f>
        <v>54.858759283710377</v>
      </c>
      <c r="M71" s="50">
        <f>IF(ROW(tbl_ORCL[[#This Row],[Adj Close]])=5, 0, $F71-$F70)</f>
        <v>0.53000000000000114</v>
      </c>
      <c r="N71" s="50">
        <f>MAX(tbl_ORCL[[#This Row],[Move]],0)</f>
        <v>0.53000000000000114</v>
      </c>
      <c r="O71" s="50">
        <f>MAX(-tbl_ORCL[[#This Row],[Move]],0)</f>
        <v>0</v>
      </c>
      <c r="P71" s="50">
        <f ca="1">IF(ROW($N71)-5&lt;RSI_Periods, "", AVERAGE(INDIRECT(ADDRESS(ROW($N71)-RSI_Periods +1, MATCH("Upmove", Price_Header,0))): INDIRECT(ADDRESS(ROW($N71),MATCH("Upmove", Price_Header,0)))))</f>
        <v>0.16428571428571409</v>
      </c>
      <c r="Q71" s="50">
        <f ca="1">IF(ROW($O71)-5&lt;RSI_Periods, "", AVERAGE(INDIRECT(ADDRESS(ROW($O71)-RSI_Periods +1, MATCH("Downmove", Price_Header,0))): INDIRECT(ADDRESS(ROW($O71),MATCH("Downmove", Price_Header,0)))))</f>
        <v>0.34214285714285658</v>
      </c>
      <c r="R71" s="50">
        <f ca="1">IF(tbl_ORCL[[#This Row],[Avg_Upmove]]="", "", tbl_ORCL[[#This Row],[Avg_Upmove]]/tbl_ORCL[[#This Row],[Avg_Downmove]])</f>
        <v>0.48016701461377892</v>
      </c>
      <c r="S71" s="127">
        <f ca="1">IF(ROW($N71)-4&lt;BB_Periods, "", _xlfn.STDEV.S(INDIRECT(ADDRESS(ROW($F71)-RSI_Periods +1, MATCH("Adj Close", Price_Header,0))): INDIRECT(ADDRESS(ROW($F71),MATCH("Adj Close", Price_Header,0)))))</f>
        <v>1.0027632152876693</v>
      </c>
    </row>
    <row r="72" spans="1:19" x14ac:dyDescent="0.35">
      <c r="A72" s="8">
        <v>44147</v>
      </c>
      <c r="B72" s="10">
        <v>57.26</v>
      </c>
      <c r="C72" s="10">
        <v>57.49</v>
      </c>
      <c r="D72" s="10">
        <v>56.1</v>
      </c>
      <c r="E72" s="10">
        <v>56.45</v>
      </c>
      <c r="F72" s="10">
        <v>56.45</v>
      </c>
      <c r="G72">
        <v>7324000</v>
      </c>
      <c r="H72" s="127">
        <f>IF(tbl_ORCL[[#This Row],[Date]]=$A$5, $F72, EMA_Beta*$H71 + (1-EMA_Beta)*$F72)</f>
        <v>57.404563786915226</v>
      </c>
      <c r="I72" s="50">
        <f ca="1">IF(tbl_ORCL[[#This Row],[RS]]= "", "", 100-(100/(1+tbl_ORCL[[#This Row],[RS]])))</f>
        <v>27.391874180865003</v>
      </c>
      <c r="J72" s="127">
        <f ca="1">IF(ROW($N72)-4&lt;BB_Periods, "", AVERAGE(INDIRECT(ADDRESS(ROW($F72)-RSI_Periods +1, MATCH("Adj Close", Price_Header,0))): INDIRECT(ADDRESS(ROW($F72),MATCH("Adj Close", Price_Header,0)))))</f>
        <v>56.617857142857147</v>
      </c>
      <c r="K72" s="127">
        <f ca="1">IF(tbl_ORCL[[#This Row],[BB_Mean]]="", "", tbl_ORCL[[#This Row],[BB_Mean]]+(BB_Width*tbl_ORCL[[#This Row],[BB_Stdev]]))</f>
        <v>57.606692621789612</v>
      </c>
      <c r="L72" s="127">
        <f ca="1">IF(tbl_ORCL[[#This Row],[BB_Mean]]="", "", tbl_ORCL[[#This Row],[BB_Mean]]-(BB_Width*tbl_ORCL[[#This Row],[BB_Stdev]]))</f>
        <v>55.629021663924682</v>
      </c>
      <c r="M72" s="50">
        <f>IF(ROW(tbl_ORCL[[#This Row],[Adj Close]])=5, 0, $F72-$F71)</f>
        <v>-0.75</v>
      </c>
      <c r="N72" s="50">
        <f>MAX(tbl_ORCL[[#This Row],[Move]],0)</f>
        <v>0</v>
      </c>
      <c r="O72" s="50">
        <f>MAX(-tbl_ORCL[[#This Row],[Move]],0)</f>
        <v>0.75</v>
      </c>
      <c r="P72" s="50">
        <f ca="1">IF(ROW($N72)-5&lt;RSI_Periods, "", AVERAGE(INDIRECT(ADDRESS(ROW($N72)-RSI_Periods +1, MATCH("Upmove", Price_Header,0))): INDIRECT(ADDRESS(ROW($N72),MATCH("Upmove", Price_Header,0)))))</f>
        <v>0.14928571428571402</v>
      </c>
      <c r="Q72" s="50">
        <f ca="1">IF(ROW($O72)-5&lt;RSI_Periods, "", AVERAGE(INDIRECT(ADDRESS(ROW($O72)-RSI_Periods +1, MATCH("Downmove", Price_Header,0))): INDIRECT(ADDRESS(ROW($O72),MATCH("Downmove", Price_Header,0)))))</f>
        <v>0.39571428571428513</v>
      </c>
      <c r="R72" s="50">
        <f ca="1">IF(tbl_ORCL[[#This Row],[Avg_Upmove]]="", "", tbl_ORCL[[#This Row],[Avg_Upmove]]/tbl_ORCL[[#This Row],[Avg_Downmove]])</f>
        <v>0.37725631768953055</v>
      </c>
      <c r="S72" s="127">
        <f ca="1">IF(ROW($N72)-4&lt;BB_Periods, "", _xlfn.STDEV.S(INDIRECT(ADDRESS(ROW($F72)-RSI_Periods +1, MATCH("Adj Close", Price_Header,0))): INDIRECT(ADDRESS(ROW($F72),MATCH("Adj Close", Price_Header,0)))))</f>
        <v>0.49441773946623363</v>
      </c>
    </row>
    <row r="73" spans="1:19" x14ac:dyDescent="0.35">
      <c r="A73" s="8">
        <v>44148</v>
      </c>
      <c r="B73" s="10">
        <v>56.88</v>
      </c>
      <c r="C73" s="10">
        <v>57.09</v>
      </c>
      <c r="D73" s="10">
        <v>56.55</v>
      </c>
      <c r="E73" s="10">
        <v>56.91</v>
      </c>
      <c r="F73" s="10">
        <v>56.91</v>
      </c>
      <c r="G73">
        <v>5870300</v>
      </c>
      <c r="H73" s="127">
        <f>IF(tbl_ORCL[[#This Row],[Date]]=$A$5, $F73, EMA_Beta*$H72 + (1-EMA_Beta)*$F73)</f>
        <v>57.355107408223702</v>
      </c>
      <c r="I73" s="50">
        <f ca="1">IF(tbl_ORCL[[#This Row],[RS]]= "", "", 100-(100/(1+tbl_ORCL[[#This Row],[RS]])))</f>
        <v>44.894366197183039</v>
      </c>
      <c r="J73" s="127">
        <f ca="1">IF(ROW($N73)-4&lt;BB_Periods, "", AVERAGE(INDIRECT(ADDRESS(ROW($F73)-RSI_Periods +1, MATCH("Adj Close", Price_Header,0))): INDIRECT(ADDRESS(ROW($F73),MATCH("Adj Close", Price_Header,0)))))</f>
        <v>56.576428571428572</v>
      </c>
      <c r="K73" s="127">
        <f ca="1">IF(tbl_ORCL[[#This Row],[BB_Mean]]="", "", tbl_ORCL[[#This Row],[BB_Mean]]+(BB_Width*tbl_ORCL[[#This Row],[BB_Stdev]]))</f>
        <v>57.449710872876373</v>
      </c>
      <c r="L73" s="127">
        <f ca="1">IF(tbl_ORCL[[#This Row],[BB_Mean]]="", "", tbl_ORCL[[#This Row],[BB_Mean]]-(BB_Width*tbl_ORCL[[#This Row],[BB_Stdev]]))</f>
        <v>55.70314626998077</v>
      </c>
      <c r="M73" s="50">
        <f>IF(ROW(tbl_ORCL[[#This Row],[Adj Close]])=5, 0, $F73-$F72)</f>
        <v>0.45999999999999375</v>
      </c>
      <c r="N73" s="50">
        <f>MAX(tbl_ORCL[[#This Row],[Move]],0)</f>
        <v>0.45999999999999375</v>
      </c>
      <c r="O73" s="50">
        <f>MAX(-tbl_ORCL[[#This Row],[Move]],0)</f>
        <v>0</v>
      </c>
      <c r="P73" s="50">
        <f ca="1">IF(ROW($N73)-5&lt;RSI_Periods, "", AVERAGE(INDIRECT(ADDRESS(ROW($N73)-RSI_Periods +1, MATCH("Upmove", Price_Header,0))): INDIRECT(ADDRESS(ROW($N73),MATCH("Upmove", Price_Header,0)))))</f>
        <v>0.18214285714285644</v>
      </c>
      <c r="Q73" s="50">
        <f ca="1">IF(ROW($O73)-5&lt;RSI_Periods, "", AVERAGE(INDIRECT(ADDRESS(ROW($O73)-RSI_Periods +1, MATCH("Downmove", Price_Header,0))): INDIRECT(ADDRESS(ROW($O73),MATCH("Downmove", Price_Header,0)))))</f>
        <v>0.22357142857142825</v>
      </c>
      <c r="R73" s="50">
        <f ca="1">IF(tbl_ORCL[[#This Row],[Avg_Upmove]]="", "", tbl_ORCL[[#This Row],[Avg_Upmove]]/tbl_ORCL[[#This Row],[Avg_Downmove]])</f>
        <v>0.81469648562300123</v>
      </c>
      <c r="S73" s="127">
        <f ca="1">IF(ROW($N73)-4&lt;BB_Periods, "", _xlfn.STDEV.S(INDIRECT(ADDRESS(ROW($F73)-RSI_Periods +1, MATCH("Adj Close", Price_Header,0))): INDIRECT(ADDRESS(ROW($F73),MATCH("Adj Close", Price_Header,0)))))</f>
        <v>0.43664115072390219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>
        <f ca="1">SUBTOTAL(103,tbl_ORCL[BB_Stdev])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74"/>
  <sheetViews>
    <sheetView topLeftCell="B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3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3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3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3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3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3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3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3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3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3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3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3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3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3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3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3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3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3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3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3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3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3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3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3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3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3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35">
      <c r="A45" s="8">
        <v>44110</v>
      </c>
      <c r="B45" s="10">
        <v>29.6</v>
      </c>
      <c r="C45" s="10">
        <v>30.75</v>
      </c>
      <c r="D45" s="10">
        <v>28.15</v>
      </c>
      <c r="E45" s="10">
        <v>28.19</v>
      </c>
      <c r="F45" s="10">
        <v>28.19</v>
      </c>
      <c r="G45">
        <v>159100</v>
      </c>
      <c r="H45" s="10">
        <f>IF(tbl_AKRO[[#This Row],[Date]]=$A$5, $F45, EMA_Beta*$H44 + (1-EMA_Beta)*$F45)</f>
        <v>31.769707155505582</v>
      </c>
      <c r="I45" s="46">
        <f ca="1">IF(tbl_AKRO[[#This Row],[RS]]= "", "", 100-(100/(1+tbl_AKRO[[#This Row],[RS]])))</f>
        <v>16.006600660066027</v>
      </c>
      <c r="J45" s="10">
        <f ca="1">IF(ROW($N45)-4&lt;BB_Periods, "", AVERAGE(INDIRECT(ADDRESS(ROW($F45)-RSI_Periods +1, MATCH("Adj Close", Price_Header,0))): INDIRECT(ADDRESS(ROW($F45),MATCH("Adj Close", Price_Header,0)))))</f>
        <v>31.925714285714289</v>
      </c>
      <c r="K45" s="127">
        <f ca="1">IF(tbl_AKRO[[#This Row],[BB_Mean]]="", "", tbl_AKRO[[#This Row],[BB_Mean]]+(BB_Width*tbl_AKRO[[#This Row],[BB_Stdev]]))</f>
        <v>37.170754224174622</v>
      </c>
      <c r="L45" s="127">
        <f ca="1">IF(tbl_AKRO[[#This Row],[BB_Mean]]="", "", tbl_AKRO[[#This Row],[BB_Mean]]-(BB_Width*tbl_AKRO[[#This Row],[BB_Stdev]]))</f>
        <v>26.680674347253959</v>
      </c>
      <c r="M45" s="46">
        <f>IF(ROW(tbl_AKRO[[#This Row],[Adj Close]])=5, 0, $F45-$F44)</f>
        <v>-1.6999999999999993</v>
      </c>
      <c r="N45" s="46">
        <f>MAX(tbl_AKRO[[#This Row],[Move]],0)</f>
        <v>0</v>
      </c>
      <c r="O45" s="46">
        <f>MAX(-tbl_AKRO[[#This Row],[Move]],0)</f>
        <v>1.6999999999999993</v>
      </c>
      <c r="P45" s="46">
        <f ca="1">IF(ROW($N45)-5&lt;RSI_Periods, "", AVERAGE(INDIRECT(ADDRESS(ROW($N45)-RSI_Periods +1, MATCH("Upmove", Price_Header,0))): INDIRECT(ADDRESS(ROW($N45),MATCH("Upmove", Price_Header,0)))))</f>
        <v>0.13857142857142893</v>
      </c>
      <c r="Q45" s="46">
        <f ca="1">IF(ROW($O45)-5&lt;RSI_Periods, "", AVERAGE(INDIRECT(ADDRESS(ROW($O45)-RSI_Periods +1, MATCH("Downmove", Price_Header,0))): INDIRECT(ADDRESS(ROW($O45),MATCH("Downmove", Price_Header,0)))))</f>
        <v>0.72714285714285742</v>
      </c>
      <c r="R45" s="46">
        <f ca="1">IF(tbl_AKRO[[#This Row],[Avg_Upmove]]="", "", tbl_AKRO[[#This Row],[Avg_Upmove]]/tbl_AKRO[[#This Row],[Avg_Downmove]])</f>
        <v>0.19056974459724993</v>
      </c>
      <c r="S45" s="10">
        <f ca="1">IF(ROW($N45)-4&lt;BB_Periods, "", _xlfn.STDEV.S(INDIRECT(ADDRESS(ROW($F45)-RSI_Periods +1, MATCH("Adj Close", Price_Header,0))): INDIRECT(ADDRESS(ROW($F45),MATCH("Adj Close", Price_Header,0)))))</f>
        <v>2.6225199692301655</v>
      </c>
    </row>
    <row r="46" spans="1:19" x14ac:dyDescent="0.35">
      <c r="A46" s="8">
        <v>44111</v>
      </c>
      <c r="B46" s="10">
        <v>26.4</v>
      </c>
      <c r="C46" s="10">
        <v>29.31</v>
      </c>
      <c r="D46" s="10">
        <v>26.4</v>
      </c>
      <c r="E46" s="10">
        <v>28.74</v>
      </c>
      <c r="F46" s="10">
        <v>28.74</v>
      </c>
      <c r="G46">
        <v>310500</v>
      </c>
      <c r="H46" s="10">
        <f>IF(tbl_AKRO[[#This Row],[Date]]=$A$5, $F46, EMA_Beta*$H45 + (1-EMA_Beta)*$F46)</f>
        <v>31.466736439955024</v>
      </c>
      <c r="I46" s="46">
        <f ca="1">IF(tbl_AKRO[[#This Row],[RS]]= "", "", 100-(100/(1+tbl_AKRO[[#This Row],[RS]])))</f>
        <v>20.080645161290334</v>
      </c>
      <c r="J46" s="10">
        <f ca="1">IF(ROW($N46)-4&lt;BB_Periods, "", AVERAGE(INDIRECT(ADDRESS(ROW($F46)-RSI_Periods +1, MATCH("Adj Close", Price_Header,0))): INDIRECT(ADDRESS(ROW($F46),MATCH("Adj Close", Price_Header,0)))))</f>
        <v>31.395714285714288</v>
      </c>
      <c r="K46" s="127">
        <f ca="1">IF(tbl_AKRO[[#This Row],[BB_Mean]]="", "", tbl_AKRO[[#This Row],[BB_Mean]]+(BB_Width*tbl_AKRO[[#This Row],[BB_Stdev]]))</f>
        <v>36.285135923908726</v>
      </c>
      <c r="L46" s="127">
        <f ca="1">IF(tbl_AKRO[[#This Row],[BB_Mean]]="", "", tbl_AKRO[[#This Row],[BB_Mean]]-(BB_Width*tbl_AKRO[[#This Row],[BB_Stdev]]))</f>
        <v>26.506292647519849</v>
      </c>
      <c r="M46" s="46">
        <f>IF(ROW(tbl_AKRO[[#This Row],[Adj Close]])=5, 0, $F46-$F45)</f>
        <v>0.54999999999999716</v>
      </c>
      <c r="N46" s="46">
        <f>MAX(tbl_AKRO[[#This Row],[Move]],0)</f>
        <v>0.54999999999999716</v>
      </c>
      <c r="O46" s="46">
        <f>MAX(-tbl_AKRO[[#This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0.17785714285714299</v>
      </c>
      <c r="Q46" s="46">
        <f ca="1">IF(ROW($O46)-5&lt;RSI_Periods, "", AVERAGE(INDIRECT(ADDRESS(ROW($O46)-RSI_Periods +1, MATCH("Downmove", Price_Header,0))): INDIRECT(ADDRESS(ROW($O46),MATCH("Downmove", Price_Header,0)))))</f>
        <v>0.70785714285714285</v>
      </c>
      <c r="R46" s="46">
        <f ca="1">IF(tbl_AKRO[[#This Row],[Avg_Upmove]]="", "", tbl_AKRO[[#This Row],[Avg_Upmove]]/tbl_AKRO[[#This Row],[Avg_Downmove]])</f>
        <v>0.25126135216952594</v>
      </c>
      <c r="S46" s="10">
        <f ca="1">IF(ROW($N46)-4&lt;BB_Periods, "", _xlfn.STDEV.S(INDIRECT(ADDRESS(ROW($F46)-RSI_Periods +1, MATCH("Adj Close", Price_Header,0))): INDIRECT(ADDRESS(ROW($F46),MATCH("Adj Close", Price_Header,0)))))</f>
        <v>2.4447108190972182</v>
      </c>
    </row>
    <row r="47" spans="1:19" x14ac:dyDescent="0.35">
      <c r="A47" s="8">
        <v>44112</v>
      </c>
      <c r="B47" s="10">
        <v>28.41</v>
      </c>
      <c r="C47" s="10">
        <v>29.25</v>
      </c>
      <c r="D47" s="10">
        <v>27.99</v>
      </c>
      <c r="E47" s="10">
        <v>29.17</v>
      </c>
      <c r="F47" s="10">
        <v>29.17</v>
      </c>
      <c r="G47">
        <v>157800</v>
      </c>
      <c r="H47" s="10">
        <f>IF(tbl_AKRO[[#This Row],[Date]]=$A$5, $F47, EMA_Beta*$H46 + (1-EMA_Beta)*$F47)</f>
        <v>31.23706279595952</v>
      </c>
      <c r="I47" s="46">
        <f ca="1">IF(tbl_AKRO[[#This Row],[RS]]= "", "", 100-(100/(1+tbl_AKRO[[#This Row],[RS]])))</f>
        <v>17.347789824854061</v>
      </c>
      <c r="J47" s="10">
        <f ca="1">IF(ROW($N47)-4&lt;BB_Periods, "", AVERAGE(INDIRECT(ADDRESS(ROW($F47)-RSI_Periods +1, MATCH("Adj Close", Price_Header,0))): INDIRECT(ADDRESS(ROW($F47),MATCH("Adj Close", Price_Header,0)))))</f>
        <v>30.836428571428574</v>
      </c>
      <c r="K47" s="127">
        <f ca="1">IF(tbl_AKRO[[#This Row],[BB_Mean]]="", "", tbl_AKRO[[#This Row],[BB_Mean]]+(BB_Width*tbl_AKRO[[#This Row],[BB_Stdev]]))</f>
        <v>34.633695662724286</v>
      </c>
      <c r="L47" s="127">
        <f ca="1">IF(tbl_AKRO[[#This Row],[BB_Mean]]="", "", tbl_AKRO[[#This Row],[BB_Mean]]-(BB_Width*tbl_AKRO[[#This Row],[BB_Stdev]]))</f>
        <v>27.039161480132865</v>
      </c>
      <c r="M47" s="46">
        <f>IF(ROW(tbl_AKRO[[#This Row],[Adj Close]])=5, 0, $F47-$F46)</f>
        <v>0.43000000000000327</v>
      </c>
      <c r="N47" s="46">
        <f>MAX(tbl_AKRO[[#This Row],[Move]],0)</f>
        <v>0.43000000000000327</v>
      </c>
      <c r="O47" s="46">
        <f>MAX(-tbl_AKRO[[#This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0.14857142857142872</v>
      </c>
      <c r="Q47" s="46">
        <f ca="1">IF(ROW($O47)-5&lt;RSI_Periods, "", AVERAGE(INDIRECT(ADDRESS(ROW($O47)-RSI_Periods +1, MATCH("Downmove", Price_Header,0))): INDIRECT(ADDRESS(ROW($O47),MATCH("Downmove", Price_Header,0)))))</f>
        <v>0.70785714285714285</v>
      </c>
      <c r="R47" s="46">
        <f ca="1">IF(tbl_AKRO[[#This Row],[Avg_Upmove]]="", "", tbl_AKRO[[#This Row],[Avg_Upmove]]/tbl_AKRO[[#This Row],[Avg_Downmove]])</f>
        <v>0.20988900100908195</v>
      </c>
      <c r="S47" s="10">
        <f ca="1">IF(ROW($N47)-4&lt;BB_Periods, "", _xlfn.STDEV.S(INDIRECT(ADDRESS(ROW($F47)-RSI_Periods +1, MATCH("Adj Close", Price_Header,0))): INDIRECT(ADDRESS(ROW($F47),MATCH("Adj Close", Price_Header,0)))))</f>
        <v>1.8986335456478545</v>
      </c>
    </row>
    <row r="48" spans="1:19" x14ac:dyDescent="0.35">
      <c r="A48" s="8">
        <v>44113</v>
      </c>
      <c r="B48" s="10">
        <v>29.3</v>
      </c>
      <c r="C48" s="10">
        <v>29.32</v>
      </c>
      <c r="D48" s="10">
        <v>28.49</v>
      </c>
      <c r="E48" s="10">
        <v>28.81</v>
      </c>
      <c r="F48" s="10">
        <v>28.81</v>
      </c>
      <c r="G48">
        <v>170100</v>
      </c>
      <c r="H48" s="10">
        <f>IF(tbl_AKRO[[#This Row],[Date]]=$A$5, $F48, EMA_Beta*$H47 + (1-EMA_Beta)*$F48)</f>
        <v>30.99435651636357</v>
      </c>
      <c r="I48" s="46">
        <f ca="1">IF(tbl_AKRO[[#This Row],[RS]]= "", "", 100-(100/(1+tbl_AKRO[[#This Row],[RS]])))</f>
        <v>20.194174757281559</v>
      </c>
      <c r="J48" s="10">
        <f ca="1">IF(ROW($N48)-4&lt;BB_Periods, "", AVERAGE(INDIRECT(ADDRESS(ROW($F48)-RSI_Periods +1, MATCH("Adj Close", Price_Header,0))): INDIRECT(ADDRESS(ROW($F48),MATCH("Adj Close", Price_Header,0)))))</f>
        <v>30.397857142857141</v>
      </c>
      <c r="K48" s="127">
        <f ca="1">IF(tbl_AKRO[[#This Row],[BB_Mean]]="", "", tbl_AKRO[[#This Row],[BB_Mean]]+(BB_Width*tbl_AKRO[[#This Row],[BB_Stdev]]))</f>
        <v>33.503912554433086</v>
      </c>
      <c r="L48" s="127">
        <f ca="1">IF(tbl_AKRO[[#This Row],[BB_Mean]]="", "", tbl_AKRO[[#This Row],[BB_Mean]]-(BB_Width*tbl_AKRO[[#This Row],[BB_Stdev]]))</f>
        <v>27.291801731281197</v>
      </c>
      <c r="M48" s="46">
        <f>IF(ROW(tbl_AKRO[[#This Row],[Adj Close]])=5, 0, $F48-$F47)</f>
        <v>-0.36000000000000298</v>
      </c>
      <c r="N48" s="46">
        <f>MAX(tbl_AKRO[[#This Row],[Move]],0)</f>
        <v>0</v>
      </c>
      <c r="O48" s="46">
        <f>MAX(-tbl_AKRO[[#This Row],[Move]],0)</f>
        <v>0.36000000000000298</v>
      </c>
      <c r="P48" s="46">
        <f ca="1">IF(ROW($N48)-5&lt;RSI_Periods, "", AVERAGE(INDIRECT(ADDRESS(ROW($N48)-RSI_Periods +1, MATCH("Upmove", Price_Header,0))): INDIRECT(ADDRESS(ROW($N48),MATCH("Upmove", Price_Header,0)))))</f>
        <v>0.14857142857142872</v>
      </c>
      <c r="Q48" s="46">
        <f ca="1">IF(ROW($O48)-5&lt;RSI_Periods, "", AVERAGE(INDIRECT(ADDRESS(ROW($O48)-RSI_Periods +1, MATCH("Downmove", Price_Header,0))): INDIRECT(ADDRESS(ROW($O48),MATCH("Downmove", Price_Header,0)))))</f>
        <v>0.58714285714285752</v>
      </c>
      <c r="R48" s="46">
        <f ca="1">IF(tbl_AKRO[[#This Row],[Avg_Upmove]]="", "", tbl_AKRO[[#This Row],[Avg_Upmove]]/tbl_AKRO[[#This Row],[Avg_Downmove]])</f>
        <v>0.2530413625304137</v>
      </c>
      <c r="S48" s="10">
        <f ca="1">IF(ROW($N48)-4&lt;BB_Periods, "", _xlfn.STDEV.S(INDIRECT(ADDRESS(ROW($F48)-RSI_Periods +1, MATCH("Adj Close", Price_Header,0))): INDIRECT(ADDRESS(ROW($F48),MATCH("Adj Close", Price_Header,0)))))</f>
        <v>1.5530277057879731</v>
      </c>
    </row>
    <row r="49" spans="1:19" x14ac:dyDescent="0.35">
      <c r="A49" s="8">
        <v>44116</v>
      </c>
      <c r="B49" s="10">
        <v>28.84</v>
      </c>
      <c r="C49" s="10">
        <v>29.18</v>
      </c>
      <c r="D49" s="10">
        <v>28.5</v>
      </c>
      <c r="E49" s="10">
        <v>28.93</v>
      </c>
      <c r="F49" s="10">
        <v>28.93</v>
      </c>
      <c r="G49">
        <v>366500</v>
      </c>
      <c r="H49" s="10">
        <f>IF(tbl_AKRO[[#This Row],[Date]]=$A$5, $F49, EMA_Beta*$H48 + (1-EMA_Beta)*$F49)</f>
        <v>30.787920864727216</v>
      </c>
      <c r="I49" s="46">
        <f ca="1">IF(tbl_AKRO[[#This Row],[RS]]= "", "", 100-(100/(1+tbl_AKRO[[#This Row],[RS]])))</f>
        <v>27.127003699136878</v>
      </c>
      <c r="J49" s="10">
        <f ca="1">IF(ROW($N49)-4&lt;BB_Periods, "", AVERAGE(INDIRECT(ADDRESS(ROW($F49)-RSI_Periods +1, MATCH("Adj Close", Price_Header,0))): INDIRECT(ADDRESS(ROW($F49),MATCH("Adj Close", Price_Header,0)))))</f>
        <v>30.132857142857144</v>
      </c>
      <c r="K49" s="127">
        <f ca="1">IF(tbl_AKRO[[#This Row],[BB_Mean]]="", "", tbl_AKRO[[#This Row],[BB_Mean]]+(BB_Width*tbl_AKRO[[#This Row],[BB_Stdev]]))</f>
        <v>33.041670578675195</v>
      </c>
      <c r="L49" s="127">
        <f ca="1">IF(tbl_AKRO[[#This Row],[BB_Mean]]="", "", tbl_AKRO[[#This Row],[BB_Mean]]-(BB_Width*tbl_AKRO[[#This Row],[BB_Stdev]]))</f>
        <v>27.224043707039094</v>
      </c>
      <c r="M49" s="46">
        <f>IF(ROW(tbl_AKRO[[#This Row],[Adj Close]])=5, 0, $F49-$F48)</f>
        <v>0.12000000000000099</v>
      </c>
      <c r="N49" s="46">
        <f>MAX(tbl_AKRO[[#This Row],[Move]],0)</f>
        <v>0.12000000000000099</v>
      </c>
      <c r="O49" s="46">
        <f>MAX(-tbl_AKRO[[#This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0.15714285714285733</v>
      </c>
      <c r="Q49" s="46">
        <f ca="1">IF(ROW($O49)-5&lt;RSI_Periods, "", AVERAGE(INDIRECT(ADDRESS(ROW($O49)-RSI_Periods +1, MATCH("Downmove", Price_Header,0))): INDIRECT(ADDRESS(ROW($O49),MATCH("Downmove", Price_Header,0)))))</f>
        <v>0.42214285714285743</v>
      </c>
      <c r="R49" s="46">
        <f ca="1">IF(tbl_AKRO[[#This Row],[Avg_Upmove]]="", "", tbl_AKRO[[#This Row],[Avg_Upmove]]/tbl_AKRO[[#This Row],[Avg_Downmove]])</f>
        <v>0.37225042301184452</v>
      </c>
      <c r="S49" s="10">
        <f ca="1">IF(ROW($N49)-4&lt;BB_Periods, "", _xlfn.STDEV.S(INDIRECT(ADDRESS(ROW($F49)-RSI_Periods +1, MATCH("Adj Close", Price_Header,0))): INDIRECT(ADDRESS(ROW($F49),MATCH("Adj Close", Price_Header,0)))))</f>
        <v>1.454406717909025</v>
      </c>
    </row>
    <row r="50" spans="1:19" x14ac:dyDescent="0.35">
      <c r="A50" s="8">
        <v>44117</v>
      </c>
      <c r="B50" s="10">
        <v>28.82</v>
      </c>
      <c r="C50" s="10">
        <v>29.75</v>
      </c>
      <c r="D50" s="10">
        <v>28.82</v>
      </c>
      <c r="E50" s="10">
        <v>29.44</v>
      </c>
      <c r="F50" s="10">
        <v>29.44</v>
      </c>
      <c r="G50">
        <v>170800</v>
      </c>
      <c r="H50" s="10">
        <f>IF(tbl_AKRO[[#This Row],[Date]]=$A$5, $F50, EMA_Beta*$H49 + (1-EMA_Beta)*$F50)</f>
        <v>30.653128778254494</v>
      </c>
      <c r="I50" s="46">
        <f ca="1">IF(tbl_AKRO[[#This Row],[RS]]= "", "", 100-(100/(1+tbl_AKRO[[#This Row],[RS]])))</f>
        <v>34.174022698612887</v>
      </c>
      <c r="J50" s="10">
        <f ca="1">IF(ROW($N50)-4&lt;BB_Periods, "", AVERAGE(INDIRECT(ADDRESS(ROW($F50)-RSI_Periods +1, MATCH("Adj Close", Price_Header,0))): INDIRECT(ADDRESS(ROW($F50),MATCH("Adj Close", Price_Header,0)))))</f>
        <v>29.953571428571429</v>
      </c>
      <c r="K50" s="127">
        <f ca="1">IF(tbl_AKRO[[#This Row],[BB_Mean]]="", "", tbl_AKRO[[#This Row],[BB_Mean]]+(BB_Width*tbl_AKRO[[#This Row],[BB_Stdev]]))</f>
        <v>32.683852982301261</v>
      </c>
      <c r="L50" s="127">
        <f ca="1">IF(tbl_AKRO[[#This Row],[BB_Mean]]="", "", tbl_AKRO[[#This Row],[BB_Mean]]-(BB_Width*tbl_AKRO[[#This Row],[BB_Stdev]]))</f>
        <v>27.223289874841601</v>
      </c>
      <c r="M50" s="46">
        <f>IF(ROW(tbl_AKRO[[#This Row],[Adj Close]])=5, 0, $F50-$F49)</f>
        <v>0.51000000000000156</v>
      </c>
      <c r="N50" s="46">
        <f>MAX(tbl_AKRO[[#This Row],[Move]],0)</f>
        <v>0.51000000000000156</v>
      </c>
      <c r="O50" s="46">
        <f>MAX(-tbl_AKRO[[#This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0.19357142857142889</v>
      </c>
      <c r="Q50" s="46">
        <f ca="1">IF(ROW($O50)-5&lt;RSI_Periods, "", AVERAGE(INDIRECT(ADDRESS(ROW($O50)-RSI_Periods +1, MATCH("Downmove", Price_Header,0))): INDIRECT(ADDRESS(ROW($O50),MATCH("Downmove", Price_Header,0)))))</f>
        <v>0.37285714285714305</v>
      </c>
      <c r="R50" s="46">
        <f ca="1">IF(tbl_AKRO[[#This Row],[Avg_Upmove]]="", "", tbl_AKRO[[#This Row],[Avg_Upmove]]/tbl_AKRO[[#This Row],[Avg_Downmove]])</f>
        <v>0.51915708812260597</v>
      </c>
      <c r="S50" s="10">
        <f ca="1">IF(ROW($N50)-4&lt;BB_Periods, "", _xlfn.STDEV.S(INDIRECT(ADDRESS(ROW($F50)-RSI_Periods +1, MATCH("Adj Close", Price_Header,0))): INDIRECT(ADDRESS(ROW($F50),MATCH("Adj Close", Price_Header,0)))))</f>
        <v>1.3651407768649142</v>
      </c>
    </row>
    <row r="51" spans="1:19" x14ac:dyDescent="0.35">
      <c r="A51" s="8">
        <v>44118</v>
      </c>
      <c r="B51" s="10">
        <v>29.47</v>
      </c>
      <c r="C51" s="10">
        <v>29.75</v>
      </c>
      <c r="D51" s="10">
        <v>28.47</v>
      </c>
      <c r="E51" s="10">
        <v>28.56</v>
      </c>
      <c r="F51" s="10">
        <v>28.56</v>
      </c>
      <c r="G51">
        <v>184900</v>
      </c>
      <c r="H51" s="10">
        <f>IF(tbl_AKRO[[#This Row],[Date]]=$A$5, $F51, EMA_Beta*$H50 + (1-EMA_Beta)*$F51)</f>
        <v>30.443815900429044</v>
      </c>
      <c r="I51" s="46">
        <f ca="1">IF(tbl_AKRO[[#This Row],[RS]]= "", "", 100-(100/(1+tbl_AKRO[[#This Row],[RS]])))</f>
        <v>29.152148664343812</v>
      </c>
      <c r="J51" s="10">
        <f ca="1">IF(ROW($N51)-4&lt;BB_Periods, "", AVERAGE(INDIRECT(ADDRESS(ROW($F51)-RSI_Periods +1, MATCH("Adj Close", Price_Header,0))): INDIRECT(ADDRESS(ROW($F51),MATCH("Adj Close", Price_Header,0)))))</f>
        <v>29.697142857142861</v>
      </c>
      <c r="K51" s="127">
        <f ca="1">IF(tbl_AKRO[[#This Row],[BB_Mean]]="", "", tbl_AKRO[[#This Row],[BB_Mean]]+(BB_Width*tbl_AKRO[[#This Row],[BB_Stdev]]))</f>
        <v>32.204000265519745</v>
      </c>
      <c r="L51" s="127">
        <f ca="1">IF(tbl_AKRO[[#This Row],[BB_Mean]]="", "", tbl_AKRO[[#This Row],[BB_Mean]]-(BB_Width*tbl_AKRO[[#This Row],[BB_Stdev]]))</f>
        <v>27.190285448765977</v>
      </c>
      <c r="M51" s="46">
        <f>IF(ROW(tbl_AKRO[[#This Row],[Adj Close]])=5, 0, $F51-$F50)</f>
        <v>-0.88000000000000256</v>
      </c>
      <c r="N51" s="46">
        <f>MAX(tbl_AKRO[[#This Row],[Move]],0)</f>
        <v>0</v>
      </c>
      <c r="O51" s="46">
        <f>MAX(-tbl_AKRO[[#This Row],[Move]],0)</f>
        <v>0.88000000000000256</v>
      </c>
      <c r="P51" s="46">
        <f ca="1">IF(ROW($N51)-5&lt;RSI_Periods, "", AVERAGE(INDIRECT(ADDRESS(ROW($N51)-RSI_Periods +1, MATCH("Upmove", Price_Header,0))): INDIRECT(ADDRESS(ROW($N51),MATCH("Upmove", Price_Header,0)))))</f>
        <v>0.17928571428571466</v>
      </c>
      <c r="Q51" s="46">
        <f ca="1">IF(ROW($O51)-5&lt;RSI_Periods, "", AVERAGE(INDIRECT(ADDRESS(ROW($O51)-RSI_Periods +1, MATCH("Downmove", Price_Header,0))): INDIRECT(ADDRESS(ROW($O51),MATCH("Downmove", Price_Header,0)))))</f>
        <v>0.43571428571428605</v>
      </c>
      <c r="R51" s="46">
        <f ca="1">IF(tbl_AKRO[[#This Row],[Avg_Upmove]]="", "", tbl_AKRO[[#This Row],[Avg_Upmove]]/tbl_AKRO[[#This Row],[Avg_Downmove]])</f>
        <v>0.41147540983606612</v>
      </c>
      <c r="S51" s="10">
        <f ca="1">IF(ROW($N51)-4&lt;BB_Periods, "", _xlfn.STDEV.S(INDIRECT(ADDRESS(ROW($F51)-RSI_Periods +1, MATCH("Adj Close", Price_Header,0))): INDIRECT(ADDRESS(ROW($F51),MATCH("Adj Close", Price_Header,0)))))</f>
        <v>1.2534287041884427</v>
      </c>
    </row>
    <row r="52" spans="1:19" x14ac:dyDescent="0.35">
      <c r="A52" s="8">
        <v>44119</v>
      </c>
      <c r="B52" s="10">
        <v>28.5</v>
      </c>
      <c r="C52" s="10">
        <v>28.5</v>
      </c>
      <c r="D52" s="10">
        <v>27.15</v>
      </c>
      <c r="E52" s="10">
        <v>27.85</v>
      </c>
      <c r="F52" s="10">
        <v>27.85</v>
      </c>
      <c r="G52">
        <v>120900</v>
      </c>
      <c r="H52" s="10">
        <f>IF(tbl_AKRO[[#This Row],[Date]]=$A$5, $F52, EMA_Beta*$H51 + (1-EMA_Beta)*$F52)</f>
        <v>30.184434310386141</v>
      </c>
      <c r="I52" s="46">
        <f ca="1">IF(tbl_AKRO[[#This Row],[RS]]= "", "", 100-(100/(1+tbl_AKRO[[#This Row],[RS]])))</f>
        <v>26.989247311827981</v>
      </c>
      <c r="J52" s="10">
        <f ca="1">IF(ROW($N52)-4&lt;BB_Periods, "", AVERAGE(INDIRECT(ADDRESS(ROW($F52)-RSI_Periods +1, MATCH("Adj Close", Price_Header,0))): INDIRECT(ADDRESS(ROW($F52),MATCH("Adj Close", Price_Header,0)))))</f>
        <v>29.391428571428577</v>
      </c>
      <c r="K52" s="127">
        <f ca="1">IF(tbl_AKRO[[#This Row],[BB_Mean]]="", "", tbl_AKRO[[#This Row],[BB_Mean]]+(BB_Width*tbl_AKRO[[#This Row],[BB_Stdev]]))</f>
        <v>31.652046011154106</v>
      </c>
      <c r="L52" s="127">
        <f ca="1">IF(tbl_AKRO[[#This Row],[BB_Mean]]="", "", tbl_AKRO[[#This Row],[BB_Mean]]-(BB_Width*tbl_AKRO[[#This Row],[BB_Stdev]]))</f>
        <v>27.130811131703048</v>
      </c>
      <c r="M52" s="46">
        <f>IF(ROW(tbl_AKRO[[#This Row],[Adj Close]])=5, 0, $F52-$F51)</f>
        <v>-0.7099999999999973</v>
      </c>
      <c r="N52" s="46">
        <f>MAX(tbl_AKRO[[#This Row],[Move]],0)</f>
        <v>0</v>
      </c>
      <c r="O52" s="46">
        <f>MAX(-tbl_AKRO[[#This Row],[Move]],0)</f>
        <v>0.7099999999999973</v>
      </c>
      <c r="P52" s="46">
        <f ca="1">IF(ROW($N52)-5&lt;RSI_Periods, "", AVERAGE(INDIRECT(ADDRESS(ROW($N52)-RSI_Periods +1, MATCH("Upmove", Price_Header,0))): INDIRECT(ADDRESS(ROW($N52),MATCH("Upmove", Price_Header,0)))))</f>
        <v>0.17928571428571466</v>
      </c>
      <c r="Q52" s="46">
        <f ca="1">IF(ROW($O52)-5&lt;RSI_Periods, "", AVERAGE(INDIRECT(ADDRESS(ROW($O52)-RSI_Periods +1, MATCH("Downmove", Price_Header,0))): INDIRECT(ADDRESS(ROW($O52),MATCH("Downmove", Price_Header,0)))))</f>
        <v>0.48500000000000043</v>
      </c>
      <c r="R52" s="46">
        <f ca="1">IF(tbl_AKRO[[#This Row],[Avg_Upmove]]="", "", tbl_AKRO[[#This Row],[Avg_Upmove]]/tbl_AKRO[[#This Row],[Avg_Downmove]])</f>
        <v>0.36966126656848353</v>
      </c>
      <c r="S52" s="10">
        <f ca="1">IF(ROW($N52)-4&lt;BB_Periods, "", _xlfn.STDEV.S(INDIRECT(ADDRESS(ROW($F52)-RSI_Periods +1, MATCH("Adj Close", Price_Header,0))): INDIRECT(ADDRESS(ROW($F52),MATCH("Adj Close", Price_Header,0)))))</f>
        <v>1.130308719862765</v>
      </c>
    </row>
    <row r="53" spans="1:19" x14ac:dyDescent="0.35">
      <c r="A53" s="8">
        <v>44120</v>
      </c>
      <c r="B53" s="10">
        <v>27.96</v>
      </c>
      <c r="C53" s="10">
        <v>29.37</v>
      </c>
      <c r="D53" s="10">
        <v>27.39</v>
      </c>
      <c r="E53" s="10">
        <v>28.35</v>
      </c>
      <c r="F53" s="10">
        <v>28.35</v>
      </c>
      <c r="G53">
        <v>245200</v>
      </c>
      <c r="H53" s="10">
        <f>IF(tbl_AKRO[[#This Row],[Date]]=$A$5, $F53, EMA_Beta*$H52 + (1-EMA_Beta)*$F53)</f>
        <v>30.00099087934753</v>
      </c>
      <c r="I53" s="46">
        <f ca="1">IF(tbl_AKRO[[#This Row],[RS]]= "", "", 100-(100/(1+tbl_AKRO[[#This Row],[RS]])))</f>
        <v>32.575757575757592</v>
      </c>
      <c r="J53" s="10">
        <f ca="1">IF(ROW($N53)-4&lt;BB_Periods, "", AVERAGE(INDIRECT(ADDRESS(ROW($F53)-RSI_Periods +1, MATCH("Adj Close", Price_Header,0))): INDIRECT(ADDRESS(ROW($F53),MATCH("Adj Close", Price_Header,0)))))</f>
        <v>29.161428571428576</v>
      </c>
      <c r="K53" s="127">
        <f ca="1">IF(tbl_AKRO[[#This Row],[BB_Mean]]="", "", tbl_AKRO[[#This Row],[BB_Mean]]+(BB_Width*tbl_AKRO[[#This Row],[BB_Stdev]]))</f>
        <v>31.099434797390746</v>
      </c>
      <c r="L53" s="127">
        <f ca="1">IF(tbl_AKRO[[#This Row],[BB_Mean]]="", "", tbl_AKRO[[#This Row],[BB_Mean]]-(BB_Width*tbl_AKRO[[#This Row],[BB_Stdev]]))</f>
        <v>27.223422345466407</v>
      </c>
      <c r="M53" s="46">
        <f>IF(ROW(tbl_AKRO[[#This Row],[Adj Close]])=5, 0, $F53-$F52)</f>
        <v>0.5</v>
      </c>
      <c r="N53" s="46">
        <f>MAX(tbl_AKRO[[#This Row],[Move]],0)</f>
        <v>0.5</v>
      </c>
      <c r="O53" s="46">
        <f>MAX(-tbl_AKRO[[#This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0.21500000000000036</v>
      </c>
      <c r="Q53" s="46">
        <f ca="1">IF(ROW($O53)-5&lt;RSI_Periods, "", AVERAGE(INDIRECT(ADDRESS(ROW($O53)-RSI_Periods +1, MATCH("Downmove", Price_Header,0))): INDIRECT(ADDRESS(ROW($O53),MATCH("Downmove", Price_Header,0)))))</f>
        <v>0.44500000000000028</v>
      </c>
      <c r="R53" s="46">
        <f ca="1">IF(tbl_AKRO[[#This Row],[Avg_Upmove]]="", "", tbl_AKRO[[#This Row],[Avg_Upmove]]/tbl_AKRO[[#This Row],[Avg_Downmove]])</f>
        <v>0.48314606741573085</v>
      </c>
      <c r="S53" s="10">
        <f ca="1">IF(ROW($N53)-4&lt;BB_Periods, "", _xlfn.STDEV.S(INDIRECT(ADDRESS(ROW($F53)-RSI_Periods +1, MATCH("Adj Close", Price_Header,0))): INDIRECT(ADDRESS(ROW($F53),MATCH("Adj Close", Price_Header,0)))))</f>
        <v>0.96900311298108477</v>
      </c>
    </row>
    <row r="54" spans="1:19" x14ac:dyDescent="0.35">
      <c r="A54" s="8">
        <v>44123</v>
      </c>
      <c r="B54" s="10">
        <v>28.52</v>
      </c>
      <c r="C54" s="10">
        <v>28.57</v>
      </c>
      <c r="D54" s="10">
        <v>27.06</v>
      </c>
      <c r="E54" s="10">
        <v>27.4</v>
      </c>
      <c r="F54" s="10">
        <v>27.4</v>
      </c>
      <c r="G54">
        <v>318600</v>
      </c>
      <c r="H54" s="10">
        <f>IF(tbl_AKRO[[#This Row],[Date]]=$A$5, $F54, EMA_Beta*$H53 + (1-EMA_Beta)*$F54)</f>
        <v>29.740891791412775</v>
      </c>
      <c r="I54" s="46">
        <f ca="1">IF(tbl_AKRO[[#This Row],[RS]]= "", "", 100-(100/(1+tbl_AKRO[[#This Row],[RS]])))</f>
        <v>30.130130130130141</v>
      </c>
      <c r="J54" s="10">
        <f ca="1">IF(ROW($N54)-4&lt;BB_Periods, "", AVERAGE(INDIRECT(ADDRESS(ROW($F54)-RSI_Periods +1, MATCH("Adj Close", Price_Header,0))): INDIRECT(ADDRESS(ROW($F54),MATCH("Adj Close", Price_Header,0)))))</f>
        <v>28.877857142857145</v>
      </c>
      <c r="K54" s="127">
        <f ca="1">IF(tbl_AKRO[[#This Row],[BB_Mean]]="", "", tbl_AKRO[[#This Row],[BB_Mean]]+(BB_Width*tbl_AKRO[[#This Row],[BB_Stdev]]))</f>
        <v>30.569977861799067</v>
      </c>
      <c r="L54" s="127">
        <f ca="1">IF(tbl_AKRO[[#This Row],[BB_Mean]]="", "", tbl_AKRO[[#This Row],[BB_Mean]]-(BB_Width*tbl_AKRO[[#This Row],[BB_Stdev]]))</f>
        <v>27.185736423915223</v>
      </c>
      <c r="M54" s="46">
        <f>IF(ROW(tbl_AKRO[[#This Row],[Adj Close]])=5, 0, $F54-$F53)</f>
        <v>-0.95000000000000284</v>
      </c>
      <c r="N54" s="46">
        <f>MAX(tbl_AKRO[[#This Row],[Move]],0)</f>
        <v>0</v>
      </c>
      <c r="O54" s="46">
        <f>MAX(-tbl_AKRO[[#This Row],[Move]],0)</f>
        <v>0.95000000000000284</v>
      </c>
      <c r="P54" s="46">
        <f ca="1">IF(ROW($N54)-5&lt;RSI_Periods, "", AVERAGE(INDIRECT(ADDRESS(ROW($N54)-RSI_Periods +1, MATCH("Upmove", Price_Header,0))): INDIRECT(ADDRESS(ROW($N54),MATCH("Upmove", Price_Header,0)))))</f>
        <v>0.21500000000000036</v>
      </c>
      <c r="Q54" s="46">
        <f ca="1">IF(ROW($O54)-5&lt;RSI_Periods, "", AVERAGE(INDIRECT(ADDRESS(ROW($O54)-RSI_Periods +1, MATCH("Downmove", Price_Header,0))): INDIRECT(ADDRESS(ROW($O54),MATCH("Downmove", Price_Header,0)))))</f>
        <v>0.49857142857142911</v>
      </c>
      <c r="R54" s="46">
        <f ca="1">IF(tbl_AKRO[[#This Row],[Avg_Upmove]]="", "", tbl_AKRO[[#This Row],[Avg_Upmove]]/tbl_AKRO[[#This Row],[Avg_Downmove]])</f>
        <v>0.43123209169054466</v>
      </c>
      <c r="S54" s="10">
        <f ca="1">IF(ROW($N54)-4&lt;BB_Periods, "", _xlfn.STDEV.S(INDIRECT(ADDRESS(ROW($F54)-RSI_Periods +1, MATCH("Adj Close", Price_Header,0))): INDIRECT(ADDRESS(ROW($F54),MATCH("Adj Close", Price_Header,0)))))</f>
        <v>0.84606035947096103</v>
      </c>
    </row>
    <row r="55" spans="1:19" x14ac:dyDescent="0.35">
      <c r="A55" s="8">
        <v>44124</v>
      </c>
      <c r="B55" s="10">
        <v>27.56</v>
      </c>
      <c r="C55" s="10">
        <v>27.62</v>
      </c>
      <c r="D55" s="10">
        <v>26.05</v>
      </c>
      <c r="E55" s="10">
        <v>26.64</v>
      </c>
      <c r="F55" s="10">
        <v>26.64</v>
      </c>
      <c r="G55">
        <v>230500</v>
      </c>
      <c r="H55" s="10">
        <f>IF(tbl_AKRO[[#This Row],[Date]]=$A$5, $F55, EMA_Beta*$H54 + (1-EMA_Beta)*$F55)</f>
        <v>29.430802612271496</v>
      </c>
      <c r="I55" s="46">
        <f ca="1">IF(tbl_AKRO[[#This Row],[RS]]= "", "", 100-(100/(1+tbl_AKRO[[#This Row],[RS]])))</f>
        <v>29.59685349065883</v>
      </c>
      <c r="J55" s="10">
        <f ca="1">IF(ROW($N55)-4&lt;BB_Periods, "", AVERAGE(INDIRECT(ADDRESS(ROW($F55)-RSI_Periods +1, MATCH("Adj Close", Price_Header,0))): INDIRECT(ADDRESS(ROW($F55),MATCH("Adj Close", Price_Header,0)))))</f>
        <v>28.581428571428575</v>
      </c>
      <c r="K55" s="127">
        <f ca="1">IF(tbl_AKRO[[#This Row],[BB_Mean]]="", "", tbl_AKRO[[#This Row],[BB_Mean]]+(BB_Width*tbl_AKRO[[#This Row],[BB_Stdev]]))</f>
        <v>30.284563366994718</v>
      </c>
      <c r="L55" s="127">
        <f ca="1">IF(tbl_AKRO[[#This Row],[BB_Mean]]="", "", tbl_AKRO[[#This Row],[BB_Mean]]-(BB_Width*tbl_AKRO[[#This Row],[BB_Stdev]]))</f>
        <v>26.878293775862431</v>
      </c>
      <c r="M55" s="46">
        <f>IF(ROW(tbl_AKRO[[#This Row],[Adj Close]])=5, 0, $F55-$F54)</f>
        <v>-0.75999999999999801</v>
      </c>
      <c r="N55" s="46">
        <f>MAX(tbl_AKRO[[#This Row],[Move]],0)</f>
        <v>0</v>
      </c>
      <c r="O55" s="46">
        <f>MAX(-tbl_AKRO[[#This Row],[Move]],0)</f>
        <v>0.75999999999999801</v>
      </c>
      <c r="P55" s="46">
        <f ca="1">IF(ROW($N55)-5&lt;RSI_Periods, "", AVERAGE(INDIRECT(ADDRESS(ROW($N55)-RSI_Periods +1, MATCH("Upmove", Price_Header,0))): INDIRECT(ADDRESS(ROW($N55),MATCH("Upmove", Price_Header,0)))))</f>
        <v>0.21500000000000036</v>
      </c>
      <c r="Q55" s="46">
        <f ca="1">IF(ROW($O55)-5&lt;RSI_Periods, "", AVERAGE(INDIRECT(ADDRESS(ROW($O55)-RSI_Periods +1, MATCH("Downmove", Price_Header,0))): INDIRECT(ADDRESS(ROW($O55),MATCH("Downmove", Price_Header,0)))))</f>
        <v>0.51142857142857168</v>
      </c>
      <c r="R55" s="46">
        <f ca="1">IF(tbl_AKRO[[#This Row],[Avg_Upmove]]="", "", tbl_AKRO[[#This Row],[Avg_Upmove]]/tbl_AKRO[[#This Row],[Avg_Downmove]])</f>
        <v>0.42039106145251448</v>
      </c>
      <c r="S55" s="10">
        <f ca="1">IF(ROW($N55)-4&lt;BB_Periods, "", _xlfn.STDEV.S(INDIRECT(ADDRESS(ROW($F55)-RSI_Periods +1, MATCH("Adj Close", Price_Header,0))): INDIRECT(ADDRESS(ROW($F55),MATCH("Adj Close", Price_Header,0)))))</f>
        <v>0.85156739778307211</v>
      </c>
    </row>
    <row r="56" spans="1:19" x14ac:dyDescent="0.35">
      <c r="A56" s="8">
        <v>44125</v>
      </c>
      <c r="B56" s="10">
        <v>27.04</v>
      </c>
      <c r="C56" s="10">
        <v>27.04</v>
      </c>
      <c r="D56" s="10">
        <v>25.62</v>
      </c>
      <c r="E56" s="10">
        <v>25.8</v>
      </c>
      <c r="F56" s="10">
        <v>25.8</v>
      </c>
      <c r="G56">
        <v>191300</v>
      </c>
      <c r="H56" s="10">
        <f>IF(tbl_AKRO[[#This Row],[Date]]=$A$5, $F56, EMA_Beta*$H55 + (1-EMA_Beta)*$F56)</f>
        <v>29.067722351044345</v>
      </c>
      <c r="I56" s="46">
        <f ca="1">IF(tbl_AKRO[[#This Row],[RS]]= "", "", 100-(100/(1+tbl_AKRO[[#This Row],[RS]])))</f>
        <v>32.021276595744695</v>
      </c>
      <c r="J56" s="10">
        <f ca="1">IF(ROW($N56)-4&lt;BB_Periods, "", AVERAGE(INDIRECT(ADDRESS(ROW($F56)-RSI_Periods +1, MATCH("Adj Close", Price_Header,0))): INDIRECT(ADDRESS(ROW($F56),MATCH("Adj Close", Price_Header,0)))))</f>
        <v>28.34</v>
      </c>
      <c r="K56" s="127">
        <f ca="1">IF(tbl_AKRO[[#This Row],[BB_Mean]]="", "", tbl_AKRO[[#This Row],[BB_Mean]]+(BB_Width*tbl_AKRO[[#This Row],[BB_Stdev]]))</f>
        <v>30.558051813225706</v>
      </c>
      <c r="L56" s="127">
        <f ca="1">IF(tbl_AKRO[[#This Row],[BB_Mean]]="", "", tbl_AKRO[[#This Row],[BB_Mean]]-(BB_Width*tbl_AKRO[[#This Row],[BB_Stdev]]))</f>
        <v>26.121948186774294</v>
      </c>
      <c r="M56" s="46">
        <f>IF(ROW(tbl_AKRO[[#This Row],[Adj Close]])=5, 0, $F56-$F55)</f>
        <v>-0.83999999999999986</v>
      </c>
      <c r="N56" s="46">
        <f>MAX(tbl_AKRO[[#This Row],[Move]],0)</f>
        <v>0</v>
      </c>
      <c r="O56" s="46">
        <f>MAX(-tbl_AKRO[[#This Row],[Move]],0)</f>
        <v>0.83999999999999986</v>
      </c>
      <c r="P56" s="46">
        <f ca="1">IF(ROW($N56)-5&lt;RSI_Periods, "", AVERAGE(INDIRECT(ADDRESS(ROW($N56)-RSI_Periods +1, MATCH("Upmove", Price_Header,0))): INDIRECT(ADDRESS(ROW($N56),MATCH("Upmove", Price_Header,0)))))</f>
        <v>0.21500000000000036</v>
      </c>
      <c r="Q56" s="46">
        <f ca="1">IF(ROW($O56)-5&lt;RSI_Periods, "", AVERAGE(INDIRECT(ADDRESS(ROW($O56)-RSI_Periods +1, MATCH("Downmove", Price_Header,0))): INDIRECT(ADDRESS(ROW($O56),MATCH("Downmove", Price_Header,0)))))</f>
        <v>0.45642857142857174</v>
      </c>
      <c r="R56" s="46">
        <f ca="1">IF(tbl_AKRO[[#This Row],[Avg_Upmove]]="", "", tbl_AKRO[[#This Row],[Avg_Upmove]]/tbl_AKRO[[#This Row],[Avg_Downmove]])</f>
        <v>0.4710485133020349</v>
      </c>
      <c r="S56" s="10">
        <f ca="1">IF(ROW($N56)-4&lt;BB_Periods, "", _xlfn.STDEV.S(INDIRECT(ADDRESS(ROW($F56)-RSI_Periods +1, MATCH("Adj Close", Price_Header,0))): INDIRECT(ADDRESS(ROW($F56),MATCH("Adj Close", Price_Header,0)))))</f>
        <v>1.1090259066128534</v>
      </c>
    </row>
    <row r="57" spans="1:19" x14ac:dyDescent="0.35">
      <c r="A57" s="8">
        <v>44126</v>
      </c>
      <c r="B57" s="10">
        <v>25.67</v>
      </c>
      <c r="C57" s="10">
        <v>26.5</v>
      </c>
      <c r="D57" s="10">
        <v>25.5</v>
      </c>
      <c r="E57" s="10">
        <v>25.81</v>
      </c>
      <c r="F57" s="10">
        <v>25.81</v>
      </c>
      <c r="G57">
        <v>126500</v>
      </c>
      <c r="H57" s="10">
        <f>IF(tbl_AKRO[[#This Row],[Date]]=$A$5, $F57, EMA_Beta*$H56 + (1-EMA_Beta)*$F57)</f>
        <v>28.741950115939911</v>
      </c>
      <c r="I57" s="46">
        <f ca="1">IF(tbl_AKRO[[#This Row],[RS]]= "", "", 100-(100/(1+tbl_AKRO[[#This Row],[RS]])))</f>
        <v>32.754880694143182</v>
      </c>
      <c r="J57" s="10">
        <f ca="1">IF(ROW($N57)-4&lt;BB_Periods, "", AVERAGE(INDIRECT(ADDRESS(ROW($F57)-RSI_Periods +1, MATCH("Adj Close", Price_Header,0))): INDIRECT(ADDRESS(ROW($F57),MATCH("Adj Close", Price_Header,0)))))</f>
        <v>28.112857142857141</v>
      </c>
      <c r="K57" s="127">
        <f ca="1">IF(tbl_AKRO[[#This Row],[BB_Mean]]="", "", tbl_AKRO[[#This Row],[BB_Mean]]+(BB_Width*tbl_AKRO[[#This Row],[BB_Stdev]]))</f>
        <v>30.669615048684555</v>
      </c>
      <c r="L57" s="127">
        <f ca="1">IF(tbl_AKRO[[#This Row],[BB_Mean]]="", "", tbl_AKRO[[#This Row],[BB_Mean]]-(BB_Width*tbl_AKRO[[#This Row],[BB_Stdev]]))</f>
        <v>25.556099237029727</v>
      </c>
      <c r="M57" s="46">
        <f>IF(ROW(tbl_AKRO[[#This Row],[Adj Close]])=5, 0, $F57-$F56)</f>
        <v>9.9999999999980105E-3</v>
      </c>
      <c r="N57" s="46">
        <f>MAX(tbl_AKRO[[#This Row],[Move]],0)</f>
        <v>9.9999999999980105E-3</v>
      </c>
      <c r="O57" s="46">
        <f>MAX(-tbl_AKRO[[#This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0.21571428571428594</v>
      </c>
      <c r="Q57" s="46">
        <f ca="1">IF(ROW($O57)-5&lt;RSI_Periods, "", AVERAGE(INDIRECT(ADDRESS(ROW($O57)-RSI_Periods +1, MATCH("Downmove", Price_Header,0))): INDIRECT(ADDRESS(ROW($O57),MATCH("Downmove", Price_Header,0)))))</f>
        <v>0.44285714285714306</v>
      </c>
      <c r="R57" s="46">
        <f ca="1">IF(tbl_AKRO[[#This Row],[Avg_Upmove]]="", "", tbl_AKRO[[#This Row],[Avg_Upmove]]/tbl_AKRO[[#This Row],[Avg_Downmove]])</f>
        <v>0.48709677419354869</v>
      </c>
      <c r="S57" s="10">
        <f ca="1">IF(ROW($N57)-4&lt;BB_Periods, "", _xlfn.STDEV.S(INDIRECT(ADDRESS(ROW($F57)-RSI_Periods +1, MATCH("Adj Close", Price_Header,0))): INDIRECT(ADDRESS(ROW($F57),MATCH("Adj Close", Price_Header,0)))))</f>
        <v>1.2783789529137077</v>
      </c>
    </row>
    <row r="58" spans="1:19" x14ac:dyDescent="0.35">
      <c r="A58" s="8">
        <v>44127</v>
      </c>
      <c r="B58" s="10">
        <v>26.04</v>
      </c>
      <c r="C58" s="10">
        <v>26.47</v>
      </c>
      <c r="D58" s="10">
        <v>25.74</v>
      </c>
      <c r="E58" s="10">
        <v>26.24</v>
      </c>
      <c r="F58" s="10">
        <v>26.24</v>
      </c>
      <c r="G58">
        <v>115100</v>
      </c>
      <c r="H58" s="10">
        <f>IF(tbl_AKRO[[#This Row],[Date]]=$A$5, $F58, EMA_Beta*$H57 + (1-EMA_Beta)*$F58)</f>
        <v>28.49175510434592</v>
      </c>
      <c r="I58" s="46">
        <f ca="1">IF(tbl_AKRO[[#This Row],[RS]]= "", "", 100-(100/(1+tbl_AKRO[[#This Row],[RS]])))</f>
        <v>29.142857142857139</v>
      </c>
      <c r="J58" s="10">
        <f ca="1">IF(ROW($N58)-4&lt;BB_Periods, "", AVERAGE(INDIRECT(ADDRESS(ROW($F58)-RSI_Periods +1, MATCH("Adj Close", Price_Header,0))): INDIRECT(ADDRESS(ROW($F58),MATCH("Adj Close", Price_Header,0)))))</f>
        <v>27.852142857142859</v>
      </c>
      <c r="K58" s="127">
        <f ca="1">IF(tbl_AKRO[[#This Row],[BB_Mean]]="", "", tbl_AKRO[[#This Row],[BB_Mean]]+(BB_Width*tbl_AKRO[[#This Row],[BB_Stdev]]))</f>
        <v>30.372401434492275</v>
      </c>
      <c r="L58" s="127">
        <f ca="1">IF(tbl_AKRO[[#This Row],[BB_Mean]]="", "", tbl_AKRO[[#This Row],[BB_Mean]]-(BB_Width*tbl_AKRO[[#This Row],[BB_Stdev]]))</f>
        <v>25.331884279793442</v>
      </c>
      <c r="M58" s="46">
        <f>IF(ROW(tbl_AKRO[[#This Row],[Adj Close]])=5, 0, $F58-$F57)</f>
        <v>0.42999999999999972</v>
      </c>
      <c r="N58" s="46">
        <f>MAX(tbl_AKRO[[#This Row],[Move]],0)</f>
        <v>0.42999999999999972</v>
      </c>
      <c r="O58" s="46">
        <f>MAX(-tbl_AKRO[[#This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0.18214285714285719</v>
      </c>
      <c r="Q58" s="46">
        <f ca="1">IF(ROW($O58)-5&lt;RSI_Periods, "", AVERAGE(INDIRECT(ADDRESS(ROW($O58)-RSI_Periods +1, MATCH("Downmove", Price_Header,0))): INDIRECT(ADDRESS(ROW($O58),MATCH("Downmove", Price_Header,0)))))</f>
        <v>0.44285714285714306</v>
      </c>
      <c r="R58" s="46">
        <f ca="1">IF(tbl_AKRO[[#This Row],[Avg_Upmove]]="", "", tbl_AKRO[[#This Row],[Avg_Upmove]]/tbl_AKRO[[#This Row],[Avg_Downmove]])</f>
        <v>0.41129032258064507</v>
      </c>
      <c r="S58" s="10">
        <f ca="1">IF(ROW($N58)-4&lt;BB_Periods, "", _xlfn.STDEV.S(INDIRECT(ADDRESS(ROW($F58)-RSI_Periods +1, MATCH("Adj Close", Price_Header,0))): INDIRECT(ADDRESS(ROW($F58),MATCH("Adj Close", Price_Header,0)))))</f>
        <v>1.2601292886747077</v>
      </c>
    </row>
    <row r="59" spans="1:19" x14ac:dyDescent="0.35">
      <c r="A59" s="8">
        <v>44130</v>
      </c>
      <c r="B59" s="10">
        <v>26.45</v>
      </c>
      <c r="C59" s="10">
        <v>26.45</v>
      </c>
      <c r="D59" s="10">
        <v>25.5</v>
      </c>
      <c r="E59" s="10">
        <v>26.26</v>
      </c>
      <c r="F59" s="10">
        <v>26.26</v>
      </c>
      <c r="G59">
        <v>132600</v>
      </c>
      <c r="H59" s="10">
        <f>IF(tbl_AKRO[[#This Row],[Date]]=$A$5, $F59, EMA_Beta*$H58 + (1-EMA_Beta)*$F59)</f>
        <v>28.268579593911326</v>
      </c>
      <c r="I59" s="46">
        <f ca="1">IF(tbl_AKRO[[#This Row],[RS]]= "", "", 100-(100/(1+tbl_AKRO[[#This Row],[RS]])))</f>
        <v>36.350777934936367</v>
      </c>
      <c r="J59" s="10">
        <f ca="1">IF(ROW($N59)-4&lt;BB_Periods, "", AVERAGE(INDIRECT(ADDRESS(ROW($F59)-RSI_Periods +1, MATCH("Adj Close", Price_Header,0))): INDIRECT(ADDRESS(ROW($F59),MATCH("Adj Close", Price_Header,0)))))</f>
        <v>27.714285714285715</v>
      </c>
      <c r="K59" s="127">
        <f ca="1">IF(tbl_AKRO[[#This Row],[BB_Mean]]="", "", tbl_AKRO[[#This Row],[BB_Mean]]+(BB_Width*tbl_AKRO[[#This Row],[BB_Stdev]]))</f>
        <v>30.362811740189578</v>
      </c>
      <c r="L59" s="127">
        <f ca="1">IF(tbl_AKRO[[#This Row],[BB_Mean]]="", "", tbl_AKRO[[#This Row],[BB_Mean]]-(BB_Width*tbl_AKRO[[#This Row],[BB_Stdev]]))</f>
        <v>25.065759688381853</v>
      </c>
      <c r="M59" s="46">
        <f>IF(ROW(tbl_AKRO[[#This Row],[Adj Close]])=5, 0, $F59-$F58)</f>
        <v>2.0000000000003126E-2</v>
      </c>
      <c r="N59" s="46">
        <f>MAX(tbl_AKRO[[#This Row],[Move]],0)</f>
        <v>2.0000000000003126E-2</v>
      </c>
      <c r="O59" s="46">
        <f>MAX(-tbl_AKRO[[#This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0.18357142857142886</v>
      </c>
      <c r="Q59" s="46">
        <f ca="1">IF(ROW($O59)-5&lt;RSI_Periods, "", AVERAGE(INDIRECT(ADDRESS(ROW($O59)-RSI_Periods +1, MATCH("Downmove", Price_Header,0))): INDIRECT(ADDRESS(ROW($O59),MATCH("Downmove", Price_Header,0)))))</f>
        <v>0.32142857142857167</v>
      </c>
      <c r="R59" s="46">
        <f ca="1">IF(tbl_AKRO[[#This Row],[Avg_Upmove]]="", "", tbl_AKRO[[#This Row],[Avg_Upmove]]/tbl_AKRO[[#This Row],[Avg_Downmove]])</f>
        <v>0.57111111111111157</v>
      </c>
      <c r="S59" s="10">
        <f ca="1">IF(ROW($N59)-4&lt;BB_Periods, "", _xlfn.STDEV.S(INDIRECT(ADDRESS(ROW($F59)-RSI_Periods +1, MATCH("Adj Close", Price_Header,0))): INDIRECT(ADDRESS(ROW($F59),MATCH("Adj Close", Price_Header,0)))))</f>
        <v>1.3242630129519317</v>
      </c>
    </row>
    <row r="60" spans="1:19" x14ac:dyDescent="0.35">
      <c r="A60" s="8">
        <v>44131</v>
      </c>
      <c r="B60" s="10">
        <v>26.34</v>
      </c>
      <c r="C60" s="10">
        <v>26.82</v>
      </c>
      <c r="D60" s="10">
        <v>25.94</v>
      </c>
      <c r="E60" s="10">
        <v>26.26</v>
      </c>
      <c r="F60" s="10">
        <v>26.26</v>
      </c>
      <c r="G60">
        <v>104400</v>
      </c>
      <c r="H60" s="10">
        <f>IF(tbl_AKRO[[#This Row],[Date]]=$A$5, $F60, EMA_Beta*$H59 + (1-EMA_Beta)*$F60)</f>
        <v>28.067721634520197</v>
      </c>
      <c r="I60" s="46">
        <f ca="1">IF(tbl_AKRO[[#This Row],[RS]]= "", "", 100-(100/(1+tbl_AKRO[[#This Row],[RS]])))</f>
        <v>30.981595092024591</v>
      </c>
      <c r="J60" s="10">
        <f ca="1">IF(ROW($N60)-4&lt;BB_Periods, "", AVERAGE(INDIRECT(ADDRESS(ROW($F60)-RSI_Periods +1, MATCH("Adj Close", Price_Header,0))): INDIRECT(ADDRESS(ROW($F60),MATCH("Adj Close", Price_Header,0)))))</f>
        <v>27.537142857142857</v>
      </c>
      <c r="K60" s="127">
        <f ca="1">IF(tbl_AKRO[[#This Row],[BB_Mean]]="", "", tbl_AKRO[[#This Row],[BB_Mean]]+(BB_Width*tbl_AKRO[[#This Row],[BB_Stdev]]))</f>
        <v>30.221644570785344</v>
      </c>
      <c r="L60" s="127">
        <f ca="1">IF(tbl_AKRO[[#This Row],[BB_Mean]]="", "", tbl_AKRO[[#This Row],[BB_Mean]]-(BB_Width*tbl_AKRO[[#This Row],[BB_Stdev]]))</f>
        <v>24.852641143500371</v>
      </c>
      <c r="M60" s="46">
        <f>IF(ROW(tbl_AKRO[[#This Row],[Adj Close]])=5, 0, $F60-$F59)</f>
        <v>0</v>
      </c>
      <c r="N60" s="46">
        <f>MAX(tbl_AKRO[[#This Row],[Move]],0)</f>
        <v>0</v>
      </c>
      <c r="O60" s="46">
        <f>MAX(-tbl_AKRO[[#This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0.14428571428571477</v>
      </c>
      <c r="Q60" s="46">
        <f ca="1">IF(ROW($O60)-5&lt;RSI_Periods, "", AVERAGE(INDIRECT(ADDRESS(ROW($O60)-RSI_Periods +1, MATCH("Downmove", Price_Header,0))): INDIRECT(ADDRESS(ROW($O60),MATCH("Downmove", Price_Header,0)))))</f>
        <v>0.32142857142857167</v>
      </c>
      <c r="R60" s="46">
        <f ca="1">IF(tbl_AKRO[[#This Row],[Avg_Upmove]]="", "", tbl_AKRO[[#This Row],[Avg_Upmove]]/tbl_AKRO[[#This Row],[Avg_Downmove]])</f>
        <v>0.44888888888889006</v>
      </c>
      <c r="S60" s="10">
        <f ca="1">IF(ROW($N60)-4&lt;BB_Periods, "", _xlfn.STDEV.S(INDIRECT(ADDRESS(ROW($F60)-RSI_Periods +1, MATCH("Adj Close", Price_Header,0))): INDIRECT(ADDRESS(ROW($F60),MATCH("Adj Close", Price_Header,0)))))</f>
        <v>1.3422508568212437</v>
      </c>
    </row>
    <row r="61" spans="1:19" x14ac:dyDescent="0.35">
      <c r="A61" s="8">
        <v>44132</v>
      </c>
      <c r="B61" s="10">
        <v>25.84</v>
      </c>
      <c r="C61" s="10">
        <v>26.64</v>
      </c>
      <c r="D61" s="10">
        <v>25.08</v>
      </c>
      <c r="E61" s="10">
        <v>26.23</v>
      </c>
      <c r="F61" s="10">
        <v>26.23</v>
      </c>
      <c r="G61">
        <v>187900</v>
      </c>
      <c r="H61" s="10">
        <f>IF(tbl_AKRO[[#This Row],[Date]]=$A$5, $F61, EMA_Beta*$H60 + (1-EMA_Beta)*$F61)</f>
        <v>27.883949471068178</v>
      </c>
      <c r="I61" s="46">
        <f ca="1">IF(tbl_AKRO[[#This Row],[RS]]= "", "", 100-(100/(1+tbl_AKRO[[#This Row],[RS]])))</f>
        <v>25.980392156862777</v>
      </c>
      <c r="J61" s="10">
        <f ca="1">IF(ROW($N61)-4&lt;BB_Periods, "", AVERAGE(INDIRECT(ADDRESS(ROW($F61)-RSI_Periods +1, MATCH("Adj Close", Price_Header,0))): INDIRECT(ADDRESS(ROW($F61),MATCH("Adj Close", Price_Header,0)))))</f>
        <v>27.32714285714286</v>
      </c>
      <c r="K61" s="127">
        <f ca="1">IF(tbl_AKRO[[#This Row],[BB_Mean]]="", "", tbl_AKRO[[#This Row],[BB_Mean]]+(BB_Width*tbl_AKRO[[#This Row],[BB_Stdev]]))</f>
        <v>29.91981215073471</v>
      </c>
      <c r="L61" s="127">
        <f ca="1">IF(tbl_AKRO[[#This Row],[BB_Mean]]="", "", tbl_AKRO[[#This Row],[BB_Mean]]-(BB_Width*tbl_AKRO[[#This Row],[BB_Stdev]]))</f>
        <v>24.73447356355101</v>
      </c>
      <c r="M61" s="46">
        <f>IF(ROW(tbl_AKRO[[#This Row],[Adj Close]])=5, 0, $F61-$F60)</f>
        <v>-3.0000000000001137E-2</v>
      </c>
      <c r="N61" s="46">
        <f>MAX(tbl_AKRO[[#This Row],[Move]],0)</f>
        <v>0</v>
      </c>
      <c r="O61" s="46">
        <f>MAX(-tbl_AKRO[[#This Row],[Move]],0)</f>
        <v>3.0000000000001137E-2</v>
      </c>
      <c r="P61" s="46">
        <f ca="1">IF(ROW($N61)-5&lt;RSI_Periods, "", AVERAGE(INDIRECT(ADDRESS(ROW($N61)-RSI_Periods +1, MATCH("Upmove", Price_Header,0))): INDIRECT(ADDRESS(ROW($N61),MATCH("Upmove", Price_Header,0)))))</f>
        <v>0.11357142857142881</v>
      </c>
      <c r="Q61" s="46">
        <f ca="1">IF(ROW($O61)-5&lt;RSI_Periods, "", AVERAGE(INDIRECT(ADDRESS(ROW($O61)-RSI_Periods +1, MATCH("Downmove", Price_Header,0))): INDIRECT(ADDRESS(ROW($O61),MATCH("Downmove", Price_Header,0)))))</f>
        <v>0.3235714285714289</v>
      </c>
      <c r="R61" s="46">
        <f ca="1">IF(tbl_AKRO[[#This Row],[Avg_Upmove]]="", "", tbl_AKRO[[#This Row],[Avg_Upmove]]/tbl_AKRO[[#This Row],[Avg_Downmove]])</f>
        <v>0.35099337748344411</v>
      </c>
      <c r="S61" s="10">
        <f ca="1">IF(ROW($N61)-4&lt;BB_Periods, "", _xlfn.STDEV.S(INDIRECT(ADDRESS(ROW($F61)-RSI_Periods +1, MATCH("Adj Close", Price_Header,0))): INDIRECT(ADDRESS(ROW($F61),MATCH("Adj Close", Price_Header,0)))))</f>
        <v>1.2963346467959251</v>
      </c>
    </row>
    <row r="62" spans="1:19" x14ac:dyDescent="0.35">
      <c r="A62" s="8">
        <v>44133</v>
      </c>
      <c r="B62" s="10">
        <v>26.61</v>
      </c>
      <c r="C62" s="10">
        <v>27.22</v>
      </c>
      <c r="D62" s="10">
        <v>25.48</v>
      </c>
      <c r="E62" s="10">
        <v>26.5</v>
      </c>
      <c r="F62" s="10">
        <v>26.5</v>
      </c>
      <c r="G62">
        <v>195400</v>
      </c>
      <c r="H62" s="10">
        <f>IF(tbl_AKRO[[#This Row],[Date]]=$A$5, $F62, EMA_Beta*$H61 + (1-EMA_Beta)*$F62)</f>
        <v>27.74555452396136</v>
      </c>
      <c r="I62" s="46">
        <f ca="1">IF(tbl_AKRO[[#This Row],[RS]]= "", "", 100-(100/(1+tbl_AKRO[[#This Row],[RS]])))</f>
        <v>30.845771144278629</v>
      </c>
      <c r="J62" s="10">
        <f ca="1">IF(ROW($N62)-4&lt;BB_Periods, "", AVERAGE(INDIRECT(ADDRESS(ROW($F62)-RSI_Periods +1, MATCH("Adj Close", Price_Header,0))): INDIRECT(ADDRESS(ROW($F62),MATCH("Adj Close", Price_Header,0)))))</f>
        <v>27.162142857142861</v>
      </c>
      <c r="K62" s="127">
        <f ca="1">IF(tbl_AKRO[[#This Row],[BB_Mean]]="", "", tbl_AKRO[[#This Row],[BB_Mean]]+(BB_Width*tbl_AKRO[[#This Row],[BB_Stdev]]))</f>
        <v>29.639761795639174</v>
      </c>
      <c r="L62" s="127">
        <f ca="1">IF(tbl_AKRO[[#This Row],[BB_Mean]]="", "", tbl_AKRO[[#This Row],[BB_Mean]]-(BB_Width*tbl_AKRO[[#This Row],[BB_Stdev]]))</f>
        <v>24.684523918646548</v>
      </c>
      <c r="M62" s="46">
        <f>IF(ROW(tbl_AKRO[[#This Row],[Adj Close]])=5, 0, $F62-$F61)</f>
        <v>0.26999999999999957</v>
      </c>
      <c r="N62" s="46">
        <f>MAX(tbl_AKRO[[#This Row],[Move]],0)</f>
        <v>0.26999999999999957</v>
      </c>
      <c r="O62" s="46">
        <f>MAX(-tbl_AKRO[[#This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0.13285714285714306</v>
      </c>
      <c r="Q62" s="46">
        <f ca="1">IF(ROW($O62)-5&lt;RSI_Periods, "", AVERAGE(INDIRECT(ADDRESS(ROW($O62)-RSI_Periods +1, MATCH("Downmove", Price_Header,0))): INDIRECT(ADDRESS(ROW($O62),MATCH("Downmove", Price_Header,0)))))</f>
        <v>0.29785714285714299</v>
      </c>
      <c r="R62" s="46">
        <f ca="1">IF(tbl_AKRO[[#This Row],[Avg_Upmove]]="", "", tbl_AKRO[[#This Row],[Avg_Upmove]]/tbl_AKRO[[#This Row],[Avg_Downmove]])</f>
        <v>0.4460431654676264</v>
      </c>
      <c r="S62" s="10">
        <f ca="1">IF(ROW($N62)-4&lt;BB_Periods, "", _xlfn.STDEV.S(INDIRECT(ADDRESS(ROW($F62)-RSI_Periods +1, MATCH("Adj Close", Price_Header,0))): INDIRECT(ADDRESS(ROW($F62),MATCH("Adj Close", Price_Header,0)))))</f>
        <v>1.2388094692481573</v>
      </c>
    </row>
    <row r="63" spans="1:19" x14ac:dyDescent="0.35">
      <c r="A63" s="8">
        <v>44134</v>
      </c>
      <c r="B63" s="10">
        <v>26.4</v>
      </c>
      <c r="C63" s="10">
        <v>26.71</v>
      </c>
      <c r="D63" s="10">
        <v>25.95</v>
      </c>
      <c r="E63" s="10">
        <v>26.55</v>
      </c>
      <c r="F63" s="10">
        <v>26.55</v>
      </c>
      <c r="G63">
        <v>173800</v>
      </c>
      <c r="H63" s="10">
        <f>IF(tbl_AKRO[[#This Row],[Date]]=$A$5, $F63, EMA_Beta*$H62 + (1-EMA_Beta)*$F63)</f>
        <v>27.625999071565225</v>
      </c>
      <c r="I63" s="46">
        <f ca="1">IF(tbl_AKRO[[#This Row],[RS]]= "", "", 100-(100/(1+tbl_AKRO[[#This Row],[RS]])))</f>
        <v>30.033557046979894</v>
      </c>
      <c r="J63" s="10">
        <f ca="1">IF(ROW($N63)-4&lt;BB_Periods, "", AVERAGE(INDIRECT(ADDRESS(ROW($F63)-RSI_Periods +1, MATCH("Adj Close", Price_Header,0))): INDIRECT(ADDRESS(ROW($F63),MATCH("Adj Close", Price_Header,0)))))</f>
        <v>26.992142857142859</v>
      </c>
      <c r="K63" s="127">
        <f ca="1">IF(tbl_AKRO[[#This Row],[BB_Mean]]="", "", tbl_AKRO[[#This Row],[BB_Mean]]+(BB_Width*tbl_AKRO[[#This Row],[BB_Stdev]]))</f>
        <v>29.265414692002217</v>
      </c>
      <c r="L63" s="127">
        <f ca="1">IF(tbl_AKRO[[#This Row],[BB_Mean]]="", "", tbl_AKRO[[#This Row],[BB_Mean]]-(BB_Width*tbl_AKRO[[#This Row],[BB_Stdev]]))</f>
        <v>24.718871022283501</v>
      </c>
      <c r="M63" s="46">
        <f>IF(ROW(tbl_AKRO[[#This Row],[Adj Close]])=5, 0, $F63-$F62)</f>
        <v>5.0000000000000711E-2</v>
      </c>
      <c r="N63" s="46">
        <f>MAX(tbl_AKRO[[#This Row],[Move]],0)</f>
        <v>5.0000000000000711E-2</v>
      </c>
      <c r="O63" s="46">
        <f>MAX(-tbl_AKRO[[#This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0.12785714285714306</v>
      </c>
      <c r="Q63" s="46">
        <f ca="1">IF(ROW($O63)-5&lt;RSI_Periods, "", AVERAGE(INDIRECT(ADDRESS(ROW($O63)-RSI_Periods +1, MATCH("Downmove", Price_Header,0))): INDIRECT(ADDRESS(ROW($O63),MATCH("Downmove", Price_Header,0)))))</f>
        <v>0.29785714285714299</v>
      </c>
      <c r="R63" s="46">
        <f ca="1">IF(tbl_AKRO[[#This Row],[Avg_Upmove]]="", "", tbl_AKRO[[#This Row],[Avg_Upmove]]/tbl_AKRO[[#This Row],[Avg_Downmove]])</f>
        <v>0.42925659472422112</v>
      </c>
      <c r="S63" s="10">
        <f ca="1">IF(ROW($N63)-4&lt;BB_Periods, "", _xlfn.STDEV.S(INDIRECT(ADDRESS(ROW($F63)-RSI_Periods +1, MATCH("Adj Close", Price_Header,0))): INDIRECT(ADDRESS(ROW($F63),MATCH("Adj Close", Price_Header,0)))))</f>
        <v>1.1366359174296796</v>
      </c>
    </row>
    <row r="64" spans="1:19" x14ac:dyDescent="0.35">
      <c r="A64" s="8">
        <v>44137</v>
      </c>
      <c r="B64" s="10">
        <v>26.82</v>
      </c>
      <c r="C64" s="10">
        <v>27.28</v>
      </c>
      <c r="D64" s="10">
        <v>26.01</v>
      </c>
      <c r="E64" s="10">
        <v>26.99</v>
      </c>
      <c r="F64" s="10">
        <v>26.99</v>
      </c>
      <c r="G64">
        <v>162100</v>
      </c>
      <c r="H64" s="10">
        <f>IF(tbl_AKRO[[#This Row],[Date]]=$A$5, $F64, EMA_Beta*$H63 + (1-EMA_Beta)*$F64)</f>
        <v>27.562399164408703</v>
      </c>
      <c r="I64" s="46">
        <f ca="1">IF(tbl_AKRO[[#This Row],[RS]]= "", "", 100-(100/(1+tbl_AKRO[[#This Row],[RS]])))</f>
        <v>29.20203735144311</v>
      </c>
      <c r="J64" s="10">
        <f ca="1">IF(ROW($N64)-4&lt;BB_Periods, "", AVERAGE(INDIRECT(ADDRESS(ROW($F64)-RSI_Periods +1, MATCH("Adj Close", Price_Header,0))): INDIRECT(ADDRESS(ROW($F64),MATCH("Adj Close", Price_Header,0)))))</f>
        <v>26.817142857142862</v>
      </c>
      <c r="K64" s="127">
        <f ca="1">IF(tbl_AKRO[[#This Row],[BB_Mean]]="", "", tbl_AKRO[[#This Row],[BB_Mean]]+(BB_Width*tbl_AKRO[[#This Row],[BB_Stdev]]))</f>
        <v>28.603801596395954</v>
      </c>
      <c r="L64" s="127">
        <f ca="1">IF(tbl_AKRO[[#This Row],[BB_Mean]]="", "", tbl_AKRO[[#This Row],[BB_Mean]]-(BB_Width*tbl_AKRO[[#This Row],[BB_Stdev]]))</f>
        <v>25.03048411788977</v>
      </c>
      <c r="M64" s="46">
        <f>IF(ROW(tbl_AKRO[[#This Row],[Adj Close]])=5, 0, $F64-$F63)</f>
        <v>0.43999999999999773</v>
      </c>
      <c r="N64" s="46">
        <f>MAX(tbl_AKRO[[#This Row],[Move]],0)</f>
        <v>0.43999999999999773</v>
      </c>
      <c r="O64" s="46">
        <f>MAX(-tbl_AKRO[[#This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0.12285714285714278</v>
      </c>
      <c r="Q64" s="46">
        <f ca="1">IF(ROW($O64)-5&lt;RSI_Periods, "", AVERAGE(INDIRECT(ADDRESS(ROW($O64)-RSI_Periods +1, MATCH("Downmove", Price_Header,0))): INDIRECT(ADDRESS(ROW($O64),MATCH("Downmove", Price_Header,0)))))</f>
        <v>0.29785714285714299</v>
      </c>
      <c r="R64" s="46">
        <f ca="1">IF(tbl_AKRO[[#This Row],[Avg_Upmove]]="", "", tbl_AKRO[[#This Row],[Avg_Upmove]]/tbl_AKRO[[#This Row],[Avg_Downmove]])</f>
        <v>0.41247002398081489</v>
      </c>
      <c r="S64" s="10">
        <f ca="1">IF(ROW($N64)-4&lt;BB_Periods, "", _xlfn.STDEV.S(INDIRECT(ADDRESS(ROW($F64)-RSI_Periods +1, MATCH("Adj Close", Price_Header,0))): INDIRECT(ADDRESS(ROW($F64),MATCH("Adj Close", Price_Header,0)))))</f>
        <v>0.8933293696265463</v>
      </c>
    </row>
    <row r="65" spans="1:19" x14ac:dyDescent="0.35">
      <c r="A65" s="8">
        <v>44138</v>
      </c>
      <c r="B65" s="10">
        <v>27.21</v>
      </c>
      <c r="C65" s="10">
        <v>27.85</v>
      </c>
      <c r="D65" s="10">
        <v>27</v>
      </c>
      <c r="E65" s="10">
        <v>27.58</v>
      </c>
      <c r="F65" s="10">
        <v>27.58</v>
      </c>
      <c r="G65">
        <v>154000</v>
      </c>
      <c r="H65" s="10">
        <f>IF(tbl_AKRO[[#This Row],[Date]]=$A$5, $F65, EMA_Beta*$H64 + (1-EMA_Beta)*$F65)</f>
        <v>27.564159247967833</v>
      </c>
      <c r="I65" s="46">
        <f ca="1">IF(tbl_AKRO[[#This Row],[RS]]= "", "", 100-(100/(1+tbl_AKRO[[#This Row],[RS]])))</f>
        <v>41.249999999999993</v>
      </c>
      <c r="J65" s="10">
        <f ca="1">IF(ROW($N65)-4&lt;BB_Periods, "", AVERAGE(INDIRECT(ADDRESS(ROW($F65)-RSI_Periods +1, MATCH("Adj Close", Price_Header,0))): INDIRECT(ADDRESS(ROW($F65),MATCH("Adj Close", Price_Header,0)))))</f>
        <v>26.747142857142855</v>
      </c>
      <c r="K65" s="127">
        <f ca="1">IF(tbl_AKRO[[#This Row],[BB_Mean]]="", "", tbl_AKRO[[#This Row],[BB_Mean]]+(BB_Width*tbl_AKRO[[#This Row],[BB_Stdev]]))</f>
        <v>28.301321909720944</v>
      </c>
      <c r="L65" s="127">
        <f ca="1">IF(tbl_AKRO[[#This Row],[BB_Mean]]="", "", tbl_AKRO[[#This Row],[BB_Mean]]-(BB_Width*tbl_AKRO[[#This Row],[BB_Stdev]]))</f>
        <v>25.192963804564766</v>
      </c>
      <c r="M65" s="46">
        <f>IF(ROW(tbl_AKRO[[#This Row],[Adj Close]])=5, 0, $F65-$F64)</f>
        <v>0.58999999999999986</v>
      </c>
      <c r="N65" s="46">
        <f>MAX(tbl_AKRO[[#This Row],[Move]],0)</f>
        <v>0.58999999999999986</v>
      </c>
      <c r="O65" s="46">
        <f>MAX(-tbl_AKRO[[#This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0.1649999999999999</v>
      </c>
      <c r="Q65" s="46">
        <f ca="1">IF(ROW($O65)-5&lt;RSI_Periods, "", AVERAGE(INDIRECT(ADDRESS(ROW($O65)-RSI_Periods +1, MATCH("Downmove", Price_Header,0))): INDIRECT(ADDRESS(ROW($O65),MATCH("Downmove", Price_Header,0)))))</f>
        <v>0.23499999999999993</v>
      </c>
      <c r="R65" s="46">
        <f ca="1">IF(tbl_AKRO[[#This Row],[Avg_Upmove]]="", "", tbl_AKRO[[#This Row],[Avg_Upmove]]/tbl_AKRO[[#This Row],[Avg_Downmove]])</f>
        <v>0.70212765957446788</v>
      </c>
      <c r="S65" s="10">
        <f ca="1">IF(ROW($N65)-4&lt;BB_Periods, "", _xlfn.STDEV.S(INDIRECT(ADDRESS(ROW($F65)-RSI_Periods +1, MATCH("Adj Close", Price_Header,0))): INDIRECT(ADDRESS(ROW($F65),MATCH("Adj Close", Price_Header,0)))))</f>
        <v>0.77708952628904471</v>
      </c>
    </row>
    <row r="66" spans="1:19" x14ac:dyDescent="0.35">
      <c r="A66" s="8">
        <v>44139</v>
      </c>
      <c r="B66" s="10">
        <v>27.86</v>
      </c>
      <c r="C66" s="10">
        <v>29.44</v>
      </c>
      <c r="D66" s="10">
        <v>27.73</v>
      </c>
      <c r="E66" s="10">
        <v>28.7</v>
      </c>
      <c r="F66" s="10">
        <v>28.7</v>
      </c>
      <c r="G66">
        <v>162200</v>
      </c>
      <c r="H66" s="10">
        <f>IF(tbl_AKRO[[#This Row],[Date]]=$A$5, $F66, EMA_Beta*$H65 + (1-EMA_Beta)*$F66)</f>
        <v>27.67774332317105</v>
      </c>
      <c r="I66" s="46">
        <f ca="1">IF(tbl_AKRO[[#This Row],[RS]]= "", "", 100-(100/(1+tbl_AKRO[[#This Row],[RS]])))</f>
        <v>57.07154742096504</v>
      </c>
      <c r="J66" s="10">
        <f ca="1">IF(ROW($N66)-4&lt;BB_Periods, "", AVERAGE(INDIRECT(ADDRESS(ROW($F66)-RSI_Periods +1, MATCH("Adj Close", Price_Header,0))): INDIRECT(ADDRESS(ROW($F66),MATCH("Adj Close", Price_Header,0)))))</f>
        <v>26.807857142857141</v>
      </c>
      <c r="K66" s="127">
        <f ca="1">IF(tbl_AKRO[[#This Row],[BB_Mean]]="", "", tbl_AKRO[[#This Row],[BB_Mean]]+(BB_Width*tbl_AKRO[[#This Row],[BB_Stdev]]))</f>
        <v>28.596370553424762</v>
      </c>
      <c r="L66" s="127">
        <f ca="1">IF(tbl_AKRO[[#This Row],[BB_Mean]]="", "", tbl_AKRO[[#This Row],[BB_Mean]]-(BB_Width*tbl_AKRO[[#This Row],[BB_Stdev]]))</f>
        <v>25.019343732289521</v>
      </c>
      <c r="M66" s="46">
        <f>IF(ROW(tbl_AKRO[[#This Row],[Adj Close]])=5, 0, $F66-$F65)</f>
        <v>1.120000000000001</v>
      </c>
      <c r="N66" s="46">
        <f>MAX(tbl_AKRO[[#This Row],[Move]],0)</f>
        <v>1.120000000000001</v>
      </c>
      <c r="O66" s="46">
        <f>MAX(-tbl_AKRO[[#This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0.24499999999999997</v>
      </c>
      <c r="Q66" s="46">
        <f ca="1">IF(ROW($O66)-5&lt;RSI_Periods, "", AVERAGE(INDIRECT(ADDRESS(ROW($O66)-RSI_Periods +1, MATCH("Downmove", Price_Header,0))): INDIRECT(ADDRESS(ROW($O66),MATCH("Downmove", Price_Header,0)))))</f>
        <v>0.18428571428571441</v>
      </c>
      <c r="R66" s="46">
        <f ca="1">IF(tbl_AKRO[[#This Row],[Avg_Upmove]]="", "", tbl_AKRO[[#This Row],[Avg_Upmove]]/tbl_AKRO[[#This Row],[Avg_Downmove]])</f>
        <v>1.3294573643410841</v>
      </c>
      <c r="S66" s="10">
        <f ca="1">IF(ROW($N66)-4&lt;BB_Periods, "", _xlfn.STDEV.S(INDIRECT(ADDRESS(ROW($F66)-RSI_Periods +1, MATCH("Adj Close", Price_Header,0))): INDIRECT(ADDRESS(ROW($F66),MATCH("Adj Close", Price_Header,0)))))</f>
        <v>0.89425670528380974</v>
      </c>
    </row>
    <row r="67" spans="1:19" x14ac:dyDescent="0.35">
      <c r="A67" s="8">
        <v>44140</v>
      </c>
      <c r="B67" s="10">
        <v>28.81</v>
      </c>
      <c r="C67" s="10">
        <v>29.68</v>
      </c>
      <c r="D67" s="10">
        <v>28.2</v>
      </c>
      <c r="E67" s="10">
        <v>29.05</v>
      </c>
      <c r="F67" s="10">
        <v>29.05</v>
      </c>
      <c r="G67">
        <v>201700</v>
      </c>
      <c r="H67" s="10">
        <f>IF(tbl_AKRO[[#This Row],[Date]]=$A$5, $F67, EMA_Beta*$H66 + (1-EMA_Beta)*$F67)</f>
        <v>27.814968990853949</v>
      </c>
      <c r="I67" s="46">
        <f ca="1">IF(tbl_AKRO[[#This Row],[RS]]= "", "", 100-(100/(1+tbl_AKRO[[#This Row],[RS]])))</f>
        <v>55.972696245733779</v>
      </c>
      <c r="J67" s="10">
        <f ca="1">IF(ROW($N67)-4&lt;BB_Periods, "", AVERAGE(INDIRECT(ADDRESS(ROW($F67)-RSI_Periods +1, MATCH("Adj Close", Price_Header,0))): INDIRECT(ADDRESS(ROW($F67),MATCH("Adj Close", Price_Header,0)))))</f>
        <v>26.857857142857142</v>
      </c>
      <c r="K67" s="127">
        <f ca="1">IF(tbl_AKRO[[#This Row],[BB_Mean]]="", "", tbl_AKRO[[#This Row],[BB_Mean]]+(BB_Width*tbl_AKRO[[#This Row],[BB_Stdev]]))</f>
        <v>28.858628971949084</v>
      </c>
      <c r="L67" s="127">
        <f ca="1">IF(tbl_AKRO[[#This Row],[BB_Mean]]="", "", tbl_AKRO[[#This Row],[BB_Mean]]-(BB_Width*tbl_AKRO[[#This Row],[BB_Stdev]]))</f>
        <v>24.8570853137652</v>
      </c>
      <c r="M67" s="46">
        <f>IF(ROW(tbl_AKRO[[#This Row],[Adj Close]])=5, 0, $F67-$F66)</f>
        <v>0.35000000000000142</v>
      </c>
      <c r="N67" s="46">
        <f>MAX(tbl_AKRO[[#This Row],[Move]],0)</f>
        <v>0.35000000000000142</v>
      </c>
      <c r="O67" s="46">
        <f>MAX(-tbl_AKRO[[#This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0.23428571428571437</v>
      </c>
      <c r="Q67" s="46">
        <f ca="1">IF(ROW($O67)-5&lt;RSI_Periods, "", AVERAGE(INDIRECT(ADDRESS(ROW($O67)-RSI_Periods +1, MATCH("Downmove", Price_Header,0))): INDIRECT(ADDRESS(ROW($O67),MATCH("Downmove", Price_Header,0)))))</f>
        <v>0.18428571428571441</v>
      </c>
      <c r="R67" s="46">
        <f ca="1">IF(tbl_AKRO[[#This Row],[Avg_Upmove]]="", "", tbl_AKRO[[#This Row],[Avg_Upmove]]/tbl_AKRO[[#This Row],[Avg_Downmove]])</f>
        <v>1.2713178294573639</v>
      </c>
      <c r="S67" s="10">
        <f ca="1">IF(ROW($N67)-4&lt;BB_Periods, "", _xlfn.STDEV.S(INDIRECT(ADDRESS(ROW($F67)-RSI_Periods +1, MATCH("Adj Close", Price_Header,0))): INDIRECT(ADDRESS(ROW($F67),MATCH("Adj Close", Price_Header,0)))))</f>
        <v>1.0003859145459704</v>
      </c>
    </row>
    <row r="68" spans="1:19" x14ac:dyDescent="0.35">
      <c r="A68" s="8">
        <v>44141</v>
      </c>
      <c r="B68" s="10">
        <v>28.37</v>
      </c>
      <c r="C68" s="10">
        <v>29.15</v>
      </c>
      <c r="D68" s="10">
        <v>28.31</v>
      </c>
      <c r="E68" s="10">
        <v>28.85</v>
      </c>
      <c r="F68" s="10">
        <v>28.85</v>
      </c>
      <c r="G68">
        <v>91500</v>
      </c>
      <c r="H68" s="10">
        <f>IF(tbl_AKRO[[#This Row],[Date]]=$A$5, $F68, EMA_Beta*$H67 + (1-EMA_Beta)*$F68)</f>
        <v>27.918472091768553</v>
      </c>
      <c r="I68" s="46">
        <f ca="1">IF(tbl_AKRO[[#This Row],[RS]]= "", "", 100-(100/(1+tbl_AKRO[[#This Row],[RS]])))</f>
        <v>64.187866927592978</v>
      </c>
      <c r="J68" s="10">
        <f ca="1">IF(ROW($N68)-4&lt;BB_Periods, "", AVERAGE(INDIRECT(ADDRESS(ROW($F68)-RSI_Periods +1, MATCH("Adj Close", Price_Header,0))): INDIRECT(ADDRESS(ROW($F68),MATCH("Adj Close", Price_Header,0)))))</f>
        <v>26.96142857142857</v>
      </c>
      <c r="K68" s="127">
        <f ca="1">IF(tbl_AKRO[[#This Row],[BB_Mean]]="", "", tbl_AKRO[[#This Row],[BB_Mean]]+(BB_Width*tbl_AKRO[[#This Row],[BB_Stdev]]))</f>
        <v>29.216990683089527</v>
      </c>
      <c r="L68" s="127">
        <f ca="1">IF(tbl_AKRO[[#This Row],[BB_Mean]]="", "", tbl_AKRO[[#This Row],[BB_Mean]]-(BB_Width*tbl_AKRO[[#This Row],[BB_Stdev]]))</f>
        <v>24.705866459767613</v>
      </c>
      <c r="M68" s="46">
        <f>IF(ROW(tbl_AKRO[[#This Row],[Adj Close]])=5, 0, $F68-$F67)</f>
        <v>-0.19999999999999929</v>
      </c>
      <c r="N68" s="46">
        <f>MAX(tbl_AKRO[[#This Row],[Move]],0)</f>
        <v>0</v>
      </c>
      <c r="O68" s="46">
        <f>MAX(-tbl_AKRO[[#This Row],[Move]],0)</f>
        <v>0.19999999999999929</v>
      </c>
      <c r="P68" s="46">
        <f ca="1">IF(ROW($N68)-5&lt;RSI_Periods, "", AVERAGE(INDIRECT(ADDRESS(ROW($N68)-RSI_Periods +1, MATCH("Upmove", Price_Header,0))): INDIRECT(ADDRESS(ROW($N68),MATCH("Upmove", Price_Header,0)))))</f>
        <v>0.23428571428571437</v>
      </c>
      <c r="Q68" s="46">
        <f ca="1">IF(ROW($O68)-5&lt;RSI_Periods, "", AVERAGE(INDIRECT(ADDRESS(ROW($O68)-RSI_Periods +1, MATCH("Downmove", Price_Header,0))): INDIRECT(ADDRESS(ROW($O68),MATCH("Downmove", Price_Header,0)))))</f>
        <v>0.13071428571428559</v>
      </c>
      <c r="R68" s="46">
        <f ca="1">IF(tbl_AKRO[[#This Row],[Avg_Upmove]]="", "", tbl_AKRO[[#This Row],[Avg_Upmove]]/tbl_AKRO[[#This Row],[Avg_Downmove]])</f>
        <v>1.7923497267759587</v>
      </c>
      <c r="S68" s="10">
        <f ca="1">IF(ROW($N68)-4&lt;BB_Periods, "", _xlfn.STDEV.S(INDIRECT(ADDRESS(ROW($F68)-RSI_Periods +1, MATCH("Adj Close", Price_Header,0))): INDIRECT(ADDRESS(ROW($F68),MATCH("Adj Close", Price_Header,0)))))</f>
        <v>1.1277810558304791</v>
      </c>
    </row>
    <row r="69" spans="1:19" x14ac:dyDescent="0.35">
      <c r="A69" s="8">
        <v>44144</v>
      </c>
      <c r="B69" s="10">
        <v>29.53</v>
      </c>
      <c r="C69" s="10">
        <v>29.81</v>
      </c>
      <c r="D69" s="10">
        <v>28.09</v>
      </c>
      <c r="E69" s="10">
        <v>29.18</v>
      </c>
      <c r="F69" s="10">
        <v>29.18</v>
      </c>
      <c r="G69">
        <v>177300</v>
      </c>
      <c r="H69" s="10">
        <f>IF(tbl_AKRO[[#This Row],[Date]]=$A$5, $F69, EMA_Beta*$H68 + (1-EMA_Beta)*$F69)</f>
        <v>28.044624882591698</v>
      </c>
      <c r="I69" s="46">
        <f ca="1">IF(tbl_AKRO[[#This Row],[RS]]= "", "", 100-(100/(1+tbl_AKRO[[#This Row],[RS]])))</f>
        <v>77.136752136752136</v>
      </c>
      <c r="J69" s="10">
        <f ca="1">IF(ROW($N69)-4&lt;BB_Periods, "", AVERAGE(INDIRECT(ADDRESS(ROW($F69)-RSI_Periods +1, MATCH("Adj Close", Price_Header,0))): INDIRECT(ADDRESS(ROW($F69),MATCH("Adj Close", Price_Header,0)))))</f>
        <v>27.142857142857146</v>
      </c>
      <c r="K69" s="127">
        <f ca="1">IF(tbl_AKRO[[#This Row],[BB_Mean]]="", "", tbl_AKRO[[#This Row],[BB_Mean]]+(BB_Width*tbl_AKRO[[#This Row],[BB_Stdev]]))</f>
        <v>29.678297369495734</v>
      </c>
      <c r="L69" s="127">
        <f ca="1">IF(tbl_AKRO[[#This Row],[BB_Mean]]="", "", tbl_AKRO[[#This Row],[BB_Mean]]-(BB_Width*tbl_AKRO[[#This Row],[BB_Stdev]]))</f>
        <v>24.607416916218558</v>
      </c>
      <c r="M69" s="46">
        <f>IF(ROW(tbl_AKRO[[#This Row],[Adj Close]])=5, 0, $F69-$F68)</f>
        <v>0.32999999999999829</v>
      </c>
      <c r="N69" s="46">
        <f>MAX(tbl_AKRO[[#This Row],[Move]],0)</f>
        <v>0.32999999999999829</v>
      </c>
      <c r="O69" s="46">
        <f>MAX(-tbl_AKRO[[#This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0.25785714285714284</v>
      </c>
      <c r="Q69" s="46">
        <f ca="1">IF(ROW($O69)-5&lt;RSI_Periods, "", AVERAGE(INDIRECT(ADDRESS(ROW($O69)-RSI_Periods +1, MATCH("Downmove", Price_Header,0))): INDIRECT(ADDRESS(ROW($O69),MATCH("Downmove", Price_Header,0)))))</f>
        <v>7.6428571428571443E-2</v>
      </c>
      <c r="R69" s="46">
        <f ca="1">IF(tbl_AKRO[[#This Row],[Avg_Upmove]]="", "", tbl_AKRO[[#This Row],[Avg_Upmove]]/tbl_AKRO[[#This Row],[Avg_Downmove]])</f>
        <v>3.3738317757009337</v>
      </c>
      <c r="S69" s="10">
        <f ca="1">IF(ROW($N69)-4&lt;BB_Periods, "", _xlfn.STDEV.S(INDIRECT(ADDRESS(ROW($F69)-RSI_Periods +1, MATCH("Adj Close", Price_Header,0))): INDIRECT(ADDRESS(ROW($F69),MATCH("Adj Close", Price_Header,0)))))</f>
        <v>1.2677201133192948</v>
      </c>
    </row>
    <row r="70" spans="1:19" x14ac:dyDescent="0.35">
      <c r="A70" s="8">
        <v>44145</v>
      </c>
      <c r="B70" s="10">
        <v>29.49</v>
      </c>
      <c r="C70" s="10">
        <v>29.67</v>
      </c>
      <c r="D70" s="10">
        <v>28.31</v>
      </c>
      <c r="E70" s="10">
        <v>29.11</v>
      </c>
      <c r="F70" s="10">
        <v>29.11</v>
      </c>
      <c r="G70">
        <v>347700</v>
      </c>
      <c r="H70" s="10">
        <f>IF(tbl_AKRO[[#This Row],[Date]]=$A$5, $F70, EMA_Beta*$H69 + (1-EMA_Beta)*$F70)</f>
        <v>28.151162394332527</v>
      </c>
      <c r="I70" s="46">
        <f ca="1">IF(tbl_AKRO[[#This Row],[RS]]= "", "", 100-(100/(1+tbl_AKRO[[#This Row],[RS]])))</f>
        <v>92.327365728900233</v>
      </c>
      <c r="J70" s="10">
        <f ca="1">IF(ROW($N70)-4&lt;BB_Periods, "", AVERAGE(INDIRECT(ADDRESS(ROW($F70)-RSI_Periods +1, MATCH("Adj Close", Price_Header,0))): INDIRECT(ADDRESS(ROW($F70),MATCH("Adj Close", Price_Header,0)))))</f>
        <v>27.379285714285718</v>
      </c>
      <c r="K70" s="127">
        <f ca="1">IF(tbl_AKRO[[#This Row],[BB_Mean]]="", "", tbl_AKRO[[#This Row],[BB_Mean]]+(BB_Width*tbl_AKRO[[#This Row],[BB_Stdev]]))</f>
        <v>29.991463871547339</v>
      </c>
      <c r="L70" s="127">
        <f ca="1">IF(tbl_AKRO[[#This Row],[BB_Mean]]="", "", tbl_AKRO[[#This Row],[BB_Mean]]-(BB_Width*tbl_AKRO[[#This Row],[BB_Stdev]]))</f>
        <v>24.767107557024097</v>
      </c>
      <c r="M70" s="46">
        <f>IF(ROW(tbl_AKRO[[#This Row],[Adj Close]])=5, 0, $F70-$F69)</f>
        <v>-7.0000000000000284E-2</v>
      </c>
      <c r="N70" s="46">
        <f>MAX(tbl_AKRO[[#This Row],[Move]],0)</f>
        <v>0</v>
      </c>
      <c r="O70" s="46">
        <f>MAX(-tbl_AKRO[[#This Row],[Move]],0)</f>
        <v>7.0000000000000284E-2</v>
      </c>
      <c r="P70" s="46">
        <f ca="1">IF(ROW($N70)-5&lt;RSI_Periods, "", AVERAGE(INDIRECT(ADDRESS(ROW($N70)-RSI_Periods +1, MATCH("Upmove", Price_Header,0))): INDIRECT(ADDRESS(ROW($N70),MATCH("Upmove", Price_Header,0)))))</f>
        <v>0.25785714285714284</v>
      </c>
      <c r="Q70" s="46">
        <f ca="1">IF(ROW($O70)-5&lt;RSI_Periods, "", AVERAGE(INDIRECT(ADDRESS(ROW($O70)-RSI_Periods +1, MATCH("Downmove", Price_Header,0))): INDIRECT(ADDRESS(ROW($O70),MATCH("Downmove", Price_Header,0)))))</f>
        <v>2.1428571428571481E-2</v>
      </c>
      <c r="R70" s="46">
        <f ca="1">IF(tbl_AKRO[[#This Row],[Avg_Upmove]]="", "", tbl_AKRO[[#This Row],[Avg_Upmove]]/tbl_AKRO[[#This Row],[Avg_Downmove]])</f>
        <v>12.033333333333303</v>
      </c>
      <c r="S70" s="10">
        <f ca="1">IF(ROW($N70)-4&lt;BB_Periods, "", _xlfn.STDEV.S(INDIRECT(ADDRESS(ROW($F70)-RSI_Periods +1, MATCH("Adj Close", Price_Header,0))): INDIRECT(ADDRESS(ROW($F70),MATCH("Adj Close", Price_Header,0)))))</f>
        <v>1.3060890786308113</v>
      </c>
    </row>
    <row r="71" spans="1:19" x14ac:dyDescent="0.35">
      <c r="A71" s="8">
        <v>44146</v>
      </c>
      <c r="B71" s="10">
        <v>29.3</v>
      </c>
      <c r="C71" s="10">
        <v>29.3</v>
      </c>
      <c r="D71" s="10">
        <v>28.43</v>
      </c>
      <c r="E71" s="10">
        <v>28.77</v>
      </c>
      <c r="F71" s="10">
        <v>28.77</v>
      </c>
      <c r="G71">
        <v>98600</v>
      </c>
      <c r="H71" s="10">
        <f>IF(tbl_AKRO[[#This Row],[Date]]=$A$5, $F71, EMA_Beta*$H70 + (1-EMA_Beta)*$F71)</f>
        <v>28.213046154899274</v>
      </c>
      <c r="I71" s="46">
        <f ca="1">IF(tbl_AKRO[[#This Row],[RS]]= "", "", 100-(100/(1+tbl_AKRO[[#This Row],[RS]])))</f>
        <v>84.905660377358487</v>
      </c>
      <c r="J71" s="10">
        <f ca="1">IF(ROW($N71)-4&lt;BB_Periods, "", AVERAGE(INDIRECT(ADDRESS(ROW($F71)-RSI_Periods +1, MATCH("Adj Close", Price_Header,0))): INDIRECT(ADDRESS(ROW($F71),MATCH("Adj Close", Price_Header,0)))))</f>
        <v>27.590714285714288</v>
      </c>
      <c r="K71" s="127">
        <f ca="1">IF(tbl_AKRO[[#This Row],[BB_Mean]]="", "", tbl_AKRO[[#This Row],[BB_Mean]]+(BB_Width*tbl_AKRO[[#This Row],[BB_Stdev]]))</f>
        <v>30.133994593756388</v>
      </c>
      <c r="L71" s="127">
        <f ca="1">IF(tbl_AKRO[[#This Row],[BB_Mean]]="", "", tbl_AKRO[[#This Row],[BB_Mean]]-(BB_Width*tbl_AKRO[[#This Row],[BB_Stdev]]))</f>
        <v>25.047433977672188</v>
      </c>
      <c r="M71" s="46">
        <f>IF(ROW(tbl_AKRO[[#This Row],[Adj Close]])=5, 0, $F71-$F70)</f>
        <v>-0.33999999999999986</v>
      </c>
      <c r="N71" s="46">
        <f>MAX(tbl_AKRO[[#This Row],[Move]],0)</f>
        <v>0</v>
      </c>
      <c r="O71" s="46">
        <f>MAX(-tbl_AKRO[[#This Row],[Move]],0)</f>
        <v>0.33999999999999986</v>
      </c>
      <c r="P71" s="46">
        <f ca="1">IF(ROW($N71)-5&lt;RSI_Periods, "", AVERAGE(INDIRECT(ADDRESS(ROW($N71)-RSI_Periods +1, MATCH("Upmove", Price_Header,0))): INDIRECT(ADDRESS(ROW($N71),MATCH("Upmove", Price_Header,0)))))</f>
        <v>0.25714285714285723</v>
      </c>
      <c r="Q71" s="46">
        <f ca="1">IF(ROW($O71)-5&lt;RSI_Periods, "", AVERAGE(INDIRECT(ADDRESS(ROW($O71)-RSI_Periods +1, MATCH("Downmove", Price_Header,0))): INDIRECT(ADDRESS(ROW($O71),MATCH("Downmove", Price_Header,0)))))</f>
        <v>4.5714285714285756E-2</v>
      </c>
      <c r="R71" s="46">
        <f ca="1">IF(tbl_AKRO[[#This Row],[Avg_Upmove]]="", "", tbl_AKRO[[#This Row],[Avg_Upmove]]/tbl_AKRO[[#This Row],[Avg_Downmove]])</f>
        <v>5.6249999999999964</v>
      </c>
      <c r="S71" s="10">
        <f ca="1">IF(ROW($N71)-4&lt;BB_Periods, "", _xlfn.STDEV.S(INDIRECT(ADDRESS(ROW($F71)-RSI_Periods +1, MATCH("Adj Close", Price_Header,0))): INDIRECT(ADDRESS(ROW($F71),MATCH("Adj Close", Price_Header,0)))))</f>
        <v>1.2716401540210505</v>
      </c>
    </row>
    <row r="72" spans="1:19" x14ac:dyDescent="0.35">
      <c r="A72" s="8">
        <v>44147</v>
      </c>
      <c r="B72" s="10">
        <v>29.29</v>
      </c>
      <c r="C72" s="10">
        <v>29.58</v>
      </c>
      <c r="D72" s="10">
        <v>28.2</v>
      </c>
      <c r="E72" s="10">
        <v>29</v>
      </c>
      <c r="F72" s="10">
        <v>29</v>
      </c>
      <c r="G72">
        <v>216900</v>
      </c>
      <c r="H72" s="10">
        <f>IF(tbl_AKRO[[#This Row],[Date]]=$A$5, $F72, EMA_Beta*$H71 + (1-EMA_Beta)*$F72)</f>
        <v>28.291741539409347</v>
      </c>
      <c r="I72" s="46">
        <f ca="1">IF(tbl_AKRO[[#This Row],[RS]]= "", "", 100-(100/(1+tbl_AKRO[[#This Row],[RS]])))</f>
        <v>84.158415841584159</v>
      </c>
      <c r="J72" s="10">
        <f ca="1">IF(ROW($N72)-4&lt;BB_Periods, "", AVERAGE(INDIRECT(ADDRESS(ROW($F72)-RSI_Periods +1, MATCH("Adj Close", Price_Header,0))): INDIRECT(ADDRESS(ROW($F72),MATCH("Adj Close", Price_Header,0)))))</f>
        <v>27.787857142857145</v>
      </c>
      <c r="K72" s="127">
        <f ca="1">IF(tbl_AKRO[[#This Row],[BB_Mean]]="", "", tbl_AKRO[[#This Row],[BB_Mean]]+(BB_Width*tbl_AKRO[[#This Row],[BB_Stdev]]))</f>
        <v>30.307895952954244</v>
      </c>
      <c r="L72" s="127">
        <f ca="1">IF(tbl_AKRO[[#This Row],[BB_Mean]]="", "", tbl_AKRO[[#This Row],[BB_Mean]]-(BB_Width*tbl_AKRO[[#This Row],[BB_Stdev]]))</f>
        <v>25.267818332760047</v>
      </c>
      <c r="M72" s="46">
        <f>IF(ROW(tbl_AKRO[[#This Row],[Adj Close]])=5, 0, $F72-$F71)</f>
        <v>0.23000000000000043</v>
      </c>
      <c r="N72" s="46">
        <f>MAX(tbl_AKRO[[#This Row],[Move]],0)</f>
        <v>0.23000000000000043</v>
      </c>
      <c r="O72" s="46">
        <f>MAX(-tbl_AKRO[[#This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0.24285714285714302</v>
      </c>
      <c r="Q72" s="46">
        <f ca="1">IF(ROW($O72)-5&lt;RSI_Periods, "", AVERAGE(INDIRECT(ADDRESS(ROW($O72)-RSI_Periods +1, MATCH("Downmove", Price_Header,0))): INDIRECT(ADDRESS(ROW($O72),MATCH("Downmove", Price_Header,0)))))</f>
        <v>4.5714285714285756E-2</v>
      </c>
      <c r="R72" s="46">
        <f ca="1">IF(tbl_AKRO[[#This Row],[Avg_Upmove]]="", "", tbl_AKRO[[#This Row],[Avg_Upmove]]/tbl_AKRO[[#This Row],[Avg_Downmove]])</f>
        <v>5.3124999999999991</v>
      </c>
      <c r="S72" s="10">
        <f ca="1">IF(ROW($N72)-4&lt;BB_Periods, "", _xlfn.STDEV.S(INDIRECT(ADDRESS(ROW($F72)-RSI_Periods +1, MATCH("Adj Close", Price_Header,0))): INDIRECT(ADDRESS(ROW($F72),MATCH("Adj Close", Price_Header,0)))))</f>
        <v>1.2600194050485494</v>
      </c>
    </row>
    <row r="73" spans="1:19" x14ac:dyDescent="0.35">
      <c r="A73" s="8">
        <v>44148</v>
      </c>
      <c r="B73" s="10">
        <v>30.99</v>
      </c>
      <c r="C73" s="10">
        <v>30.99</v>
      </c>
      <c r="D73" s="10">
        <v>27.75</v>
      </c>
      <c r="E73" s="10">
        <v>27.9</v>
      </c>
      <c r="F73" s="10">
        <v>27.9</v>
      </c>
      <c r="G73">
        <v>280100</v>
      </c>
      <c r="H73" s="10">
        <f>IF(tbl_AKRO[[#This Row],[Date]]=$A$5, $F73, EMA_Beta*$H72 + (1-EMA_Beta)*$F73)</f>
        <v>28.252567385468414</v>
      </c>
      <c r="I73" s="46">
        <f ca="1">IF(tbl_AKRO[[#This Row],[RS]]= "", "", 100-(100/(1+tbl_AKRO[[#This Row],[RS]])))</f>
        <v>66.015624999999972</v>
      </c>
      <c r="J73" s="10">
        <f ca="1">IF(ROW($N73)-4&lt;BB_Periods, "", AVERAGE(INDIRECT(ADDRESS(ROW($F73)-RSI_Periods +1, MATCH("Adj Close", Price_Header,0))): INDIRECT(ADDRESS(ROW($F73),MATCH("Adj Close", Price_Header,0)))))</f>
        <v>27.904999999999998</v>
      </c>
      <c r="K73" s="127">
        <f ca="1">IF(tbl_AKRO[[#This Row],[BB_Mean]]="", "", tbl_AKRO[[#This Row],[BB_Mean]]+(BB_Width*tbl_AKRO[[#This Row],[BB_Stdev]]))</f>
        <v>30.266586819850648</v>
      </c>
      <c r="L73" s="127">
        <f ca="1">IF(tbl_AKRO[[#This Row],[BB_Mean]]="", "", tbl_AKRO[[#This Row],[BB_Mean]]-(BB_Width*tbl_AKRO[[#This Row],[BB_Stdev]]))</f>
        <v>25.543413180149347</v>
      </c>
      <c r="M73" s="46">
        <f>IF(ROW(tbl_AKRO[[#This Row],[Adj Close]])=5, 0, $F73-$F72)</f>
        <v>-1.1000000000000014</v>
      </c>
      <c r="N73" s="46">
        <f>MAX(tbl_AKRO[[#This Row],[Move]],0)</f>
        <v>0</v>
      </c>
      <c r="O73" s="46">
        <f>MAX(-tbl_AKRO[[#This Row],[Move]],0)</f>
        <v>1.1000000000000014</v>
      </c>
      <c r="P73" s="46">
        <f ca="1">IF(ROW($N73)-5&lt;RSI_Periods, "", AVERAGE(INDIRECT(ADDRESS(ROW($N73)-RSI_Periods +1, MATCH("Upmove", Price_Header,0))): INDIRECT(ADDRESS(ROW($N73),MATCH("Upmove", Price_Header,0)))))</f>
        <v>0.24142857142857135</v>
      </c>
      <c r="Q73" s="46">
        <f ca="1">IF(ROW($O73)-5&lt;RSI_Periods, "", AVERAGE(INDIRECT(ADDRESS(ROW($O73)-RSI_Periods +1, MATCH("Downmove", Price_Header,0))): INDIRECT(ADDRESS(ROW($O73),MATCH("Downmove", Price_Header,0)))))</f>
        <v>0.12428571428571443</v>
      </c>
      <c r="R73" s="46">
        <f ca="1">IF(tbl_AKRO[[#This Row],[Avg_Upmove]]="", "", tbl_AKRO[[#This Row],[Avg_Upmove]]/tbl_AKRO[[#This Row],[Avg_Downmove]])</f>
        <v>1.942528735632181</v>
      </c>
      <c r="S73" s="10">
        <f ca="1">IF(ROW($N73)-4&lt;BB_Periods, "", _xlfn.STDEV.S(INDIRECT(ADDRESS(ROW($F73)-RSI_Periods +1, MATCH("Adj Close", Price_Header,0))): INDIRECT(ADDRESS(ROW($F73),MATCH("Adj Close", Price_Header,0)))))</f>
        <v>1.1807934099253252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SUBTOTAL(103,tbl_AKRO[BB_Stdev])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74"/>
  <sheetViews>
    <sheetView topLeftCell="B63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3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3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3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3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3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3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3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3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3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3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3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3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3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3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3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3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3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3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3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3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3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3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3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3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3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3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35">
      <c r="A45" s="8">
        <v>44110</v>
      </c>
      <c r="B45" s="10">
        <v>260.12</v>
      </c>
      <c r="C45" s="10">
        <v>264.98</v>
      </c>
      <c r="D45" s="10">
        <v>258.18</v>
      </c>
      <c r="E45" s="10">
        <v>259.27</v>
      </c>
      <c r="F45" s="10">
        <v>259.27</v>
      </c>
      <c r="G45">
        <v>3152200</v>
      </c>
      <c r="H45" s="10">
        <f>IF(tbl_FDX[[#This Row],[Date]]=$A$5, $F45, EMA_Beta*$H44 + (1-EMA_Beta)*$F45)</f>
        <v>245.70179307698754</v>
      </c>
      <c r="I45" s="46">
        <f ca="1">IF(tbl_FDX[[#This Row],[RS]]= "", "", 100-(100/(1+tbl_FDX[[#This Row],[RS]])))</f>
        <v>60.696394417143239</v>
      </c>
      <c r="J45" s="10">
        <f ca="1">IF(ROW($N45)-4&lt;BB_Periods, "", AVERAGE(INDIRECT(ADDRESS(ROW($F45)-RSI_Periods +1, MATCH("Adj Close", Price_Header,0))): INDIRECT(ADDRESS(ROW($F45),MATCH("Adj Close", Price_Header,0)))))</f>
        <v>249.23214299999998</v>
      </c>
      <c r="K45" s="10">
        <f ca="1">IF(tbl_FDX[[#This Row],[BB_Mean]]="", "", tbl_FDX[[#This Row],[BB_Mean]]+(BB_Width*tbl_FDX[[#This Row],[BB_Stdev]]))</f>
        <v>263.31959966957464</v>
      </c>
      <c r="L45" s="127">
        <f ca="1">IF(tbl_FDX[[#This Row],[BB_Mean]]="", "", tbl_FDX[[#This Row],[BB_Mean]]-(BB_Width*tbl_FDX[[#This Row],[BB_Stdev]]))</f>
        <v>235.14468633042532</v>
      </c>
      <c r="M45" s="46">
        <f>IF(ROW(tbl_FDX[[#This Row],[Adj Close]])=5, 0, $F45-$F44)</f>
        <v>6.0000000000002274E-2</v>
      </c>
      <c r="N45" s="46">
        <f>MAX(tbl_FDX[[#This Row],[Move]],0)</f>
        <v>6.0000000000002274E-2</v>
      </c>
      <c r="O45" s="46">
        <f>MAX(-tbl_FDX[[#This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1.81785714285714</v>
      </c>
      <c r="Q45" s="46">
        <f ca="1">IF(ROW($O45)-5&lt;RSI_Periods, "", AVERAGE(INDIRECT(ADDRESS(ROW($O45)-RSI_Periods +1, MATCH("Downmove", Price_Header,0))): INDIRECT(ADDRESS(ROW($O45),MATCH("Downmove", Price_Header,0)))))</f>
        <v>1.1771430714285702</v>
      </c>
      <c r="R45" s="46">
        <f ca="1">IF(tbl_FDX[[#This Row],[Avg_Upmove]]="", "", tbl_FDX[[#This Row],[Avg_Upmove]]/tbl_FDX[[#This Row],[Avg_Downmove]])</f>
        <v>1.5442958353830387</v>
      </c>
      <c r="S45" s="10">
        <f ca="1">IF(ROW($N45)-4&lt;BB_Periods, "", _xlfn.STDEV.S(INDIRECT(ADDRESS(ROW($F45)-RSI_Periods +1, MATCH("Adj Close", Price_Header,0))): INDIRECT(ADDRESS(ROW($F45),MATCH("Adj Close", Price_Header,0)))))</f>
        <v>7.0437283347873336</v>
      </c>
    </row>
    <row r="46" spans="1:19" x14ac:dyDescent="0.35">
      <c r="A46" s="8">
        <v>44111</v>
      </c>
      <c r="B46" s="10">
        <v>263.85000000000002</v>
      </c>
      <c r="C46" s="10">
        <v>270.66000000000003</v>
      </c>
      <c r="D46" s="10">
        <v>263.5</v>
      </c>
      <c r="E46" s="10">
        <v>268.26</v>
      </c>
      <c r="F46" s="10">
        <v>268.26</v>
      </c>
      <c r="G46">
        <v>2986500</v>
      </c>
      <c r="H46" s="10">
        <f>IF(tbl_FDX[[#This Row],[Date]]=$A$5, $F46, EMA_Beta*$H45 + (1-EMA_Beta)*$F46)</f>
        <v>247.9576137692888</v>
      </c>
      <c r="I46" s="46">
        <f ca="1">IF(tbl_FDX[[#This Row],[RS]]= "", "", 100-(100/(1+tbl_FDX[[#This Row],[RS]])))</f>
        <v>77.046976418479801</v>
      </c>
      <c r="J46" s="10">
        <f ca="1">IF(ROW($N46)-4&lt;BB_Periods, "", AVERAGE(INDIRECT(ADDRESS(ROW($F46)-RSI_Periods +1, MATCH("Adj Close", Price_Header,0))): INDIRECT(ADDRESS(ROW($F46),MATCH("Adj Close", Price_Header,0)))))</f>
        <v>250.95928571428573</v>
      </c>
      <c r="K46" s="10">
        <f ca="1">IF(tbl_FDX[[#This Row],[BB_Mean]]="", "", tbl_FDX[[#This Row],[BB_Mean]]+(BB_Width*tbl_FDX[[#This Row],[BB_Stdev]]))</f>
        <v>267.95463252412793</v>
      </c>
      <c r="L46" s="127">
        <f ca="1">IF(tbl_FDX[[#This Row],[BB_Mean]]="", "", tbl_FDX[[#This Row],[BB_Mean]]-(BB_Width*tbl_FDX[[#This Row],[BB_Stdev]]))</f>
        <v>233.96393890444355</v>
      </c>
      <c r="M46" s="46">
        <f>IF(ROW(tbl_FDX[[#This Row],[Adj Close]])=5, 0, $F46-$F45)</f>
        <v>8.9900000000000091</v>
      </c>
      <c r="N46" s="46">
        <f>MAX(tbl_FDX[[#This Row],[Move]],0)</f>
        <v>8.9900000000000091</v>
      </c>
      <c r="O46" s="46">
        <f>MAX(-tbl_FDX[[#This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2.4599999999999977</v>
      </c>
      <c r="Q46" s="46">
        <f ca="1">IF(ROW($O46)-5&lt;RSI_Periods, "", AVERAGE(INDIRECT(ADDRESS(ROW($O46)-RSI_Periods +1, MATCH("Downmove", Price_Header,0))): INDIRECT(ADDRESS(ROW($O46),MATCH("Downmove", Price_Header,0)))))</f>
        <v>0.73285728571428466</v>
      </c>
      <c r="R46" s="46">
        <f ca="1">IF(tbl_FDX[[#This Row],[Avg_Upmove]]="", "", tbl_FDX[[#This Row],[Avg_Upmove]]/tbl_FDX[[#This Row],[Avg_Downmove]])</f>
        <v>3.3567244918665726</v>
      </c>
      <c r="S46" s="10">
        <f ca="1">IF(ROW($N46)-4&lt;BB_Periods, "", _xlfn.STDEV.S(INDIRECT(ADDRESS(ROW($F46)-RSI_Periods +1, MATCH("Adj Close", Price_Header,0))): INDIRECT(ADDRESS(ROW($F46),MATCH("Adj Close", Price_Header,0)))))</f>
        <v>8.4976734049210929</v>
      </c>
    </row>
    <row r="47" spans="1:19" x14ac:dyDescent="0.35">
      <c r="A47" s="8">
        <v>44112</v>
      </c>
      <c r="B47" s="10">
        <v>269.73</v>
      </c>
      <c r="C47" s="10">
        <v>272.52</v>
      </c>
      <c r="D47" s="10">
        <v>266.35000000000002</v>
      </c>
      <c r="E47" s="10">
        <v>271.06</v>
      </c>
      <c r="F47" s="10">
        <v>271.06</v>
      </c>
      <c r="G47">
        <v>1993000</v>
      </c>
      <c r="H47" s="10">
        <f>IF(tbl_FDX[[#This Row],[Date]]=$A$5, $F47, EMA_Beta*$H46 + (1-EMA_Beta)*$F47)</f>
        <v>250.26785239235991</v>
      </c>
      <c r="I47" s="46">
        <f ca="1">IF(tbl_FDX[[#This Row],[RS]]= "", "", 100-(100/(1+tbl_FDX[[#This Row],[RS]])))</f>
        <v>80.606060606060637</v>
      </c>
      <c r="J47" s="10">
        <f ca="1">IF(ROW($N47)-4&lt;BB_Periods, "", AVERAGE(INDIRECT(ADDRESS(ROW($F47)-RSI_Periods +1, MATCH("Adj Close", Price_Header,0))): INDIRECT(ADDRESS(ROW($F47),MATCH("Adj Close", Price_Header,0)))))</f>
        <v>252.97928571428568</v>
      </c>
      <c r="K47" s="10">
        <f ca="1">IF(tbl_FDX[[#This Row],[BB_Mean]]="", "", tbl_FDX[[#This Row],[BB_Mean]]+(BB_Width*tbl_FDX[[#This Row],[BB_Stdev]]))</f>
        <v>272.34418888278293</v>
      </c>
      <c r="L47" s="127">
        <f ca="1">IF(tbl_FDX[[#This Row],[BB_Mean]]="", "", tbl_FDX[[#This Row],[BB_Mean]]-(BB_Width*tbl_FDX[[#This Row],[BB_Stdev]]))</f>
        <v>233.61438254578843</v>
      </c>
      <c r="M47" s="46">
        <f>IF(ROW(tbl_FDX[[#This Row],[Adj Close]])=5, 0, $F47-$F46)</f>
        <v>2.8000000000000114</v>
      </c>
      <c r="N47" s="46">
        <f>MAX(tbl_FDX[[#This Row],[Move]],0)</f>
        <v>2.8000000000000114</v>
      </c>
      <c r="O47" s="46">
        <f>MAX(-tbl_FDX[[#This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2.6599999999999988</v>
      </c>
      <c r="Q47" s="46">
        <f ca="1">IF(ROW($O47)-5&lt;RSI_Periods, "", AVERAGE(INDIRECT(ADDRESS(ROW($O47)-RSI_Periods +1, MATCH("Downmove", Price_Header,0))): INDIRECT(ADDRESS(ROW($O47),MATCH("Downmove", Price_Header,0)))))</f>
        <v>0.63999999999999857</v>
      </c>
      <c r="R47" s="46">
        <f ca="1">IF(tbl_FDX[[#This Row],[Avg_Upmove]]="", "", tbl_FDX[[#This Row],[Avg_Upmove]]/tbl_FDX[[#This Row],[Avg_Downmove]])</f>
        <v>4.1562500000000071</v>
      </c>
      <c r="S47" s="10">
        <f ca="1">IF(ROW($N47)-4&lt;BB_Periods, "", _xlfn.STDEV.S(INDIRECT(ADDRESS(ROW($F47)-RSI_Periods +1, MATCH("Adj Close", Price_Header,0))): INDIRECT(ADDRESS(ROW($F47),MATCH("Adj Close", Price_Header,0)))))</f>
        <v>9.6824515842486232</v>
      </c>
    </row>
    <row r="48" spans="1:19" x14ac:dyDescent="0.35">
      <c r="A48" s="8">
        <v>44113</v>
      </c>
      <c r="B48" s="10">
        <v>274.39999999999998</v>
      </c>
      <c r="C48" s="10">
        <v>275</v>
      </c>
      <c r="D48" s="10">
        <v>269.54000000000002</v>
      </c>
      <c r="E48" s="10">
        <v>271.55</v>
      </c>
      <c r="F48" s="10">
        <v>271.55</v>
      </c>
      <c r="G48">
        <v>2168400</v>
      </c>
      <c r="H48" s="10">
        <f>IF(tbl_FDX[[#This Row],[Date]]=$A$5, $F48, EMA_Beta*$H47 + (1-EMA_Beta)*$F48)</f>
        <v>252.39606715312394</v>
      </c>
      <c r="I48" s="46">
        <f ca="1">IF(tbl_FDX[[#This Row],[RS]]= "", "", 100-(100/(1+tbl_FDX[[#This Row],[RS]])))</f>
        <v>88.464243845252071</v>
      </c>
      <c r="J48" s="10">
        <f ca="1">IF(ROW($N48)-4&lt;BB_Periods, "", AVERAGE(INDIRECT(ADDRESS(ROW($F48)-RSI_Periods +1, MATCH("Adj Close", Price_Header,0))): INDIRECT(ADDRESS(ROW($F48),MATCH("Adj Close", Price_Header,0)))))</f>
        <v>255.32285714285715</v>
      </c>
      <c r="K48" s="10">
        <f ca="1">IF(tbl_FDX[[#This Row],[BB_Mean]]="", "", tbl_FDX[[#This Row],[BB_Mean]]+(BB_Width*tbl_FDX[[#This Row],[BB_Stdev]]))</f>
        <v>275.19916608448051</v>
      </c>
      <c r="L48" s="127">
        <f ca="1">IF(tbl_FDX[[#This Row],[BB_Mean]]="", "", tbl_FDX[[#This Row],[BB_Mean]]-(BB_Width*tbl_FDX[[#This Row],[BB_Stdev]]))</f>
        <v>235.44654820123378</v>
      </c>
      <c r="M48" s="46">
        <f>IF(ROW(tbl_FDX[[#This Row],[Adj Close]])=5, 0, $F48-$F47)</f>
        <v>0.49000000000000909</v>
      </c>
      <c r="N48" s="46">
        <f>MAX(tbl_FDX[[#This Row],[Move]],0)</f>
        <v>0.49000000000000909</v>
      </c>
      <c r="O48" s="46">
        <f>MAX(-tbl_FDX[[#This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2.6949999999999994</v>
      </c>
      <c r="Q48" s="46">
        <f ca="1">IF(ROW($O48)-5&lt;RSI_Periods, "", AVERAGE(INDIRECT(ADDRESS(ROW($O48)-RSI_Periods +1, MATCH("Downmove", Price_Header,0))): INDIRECT(ADDRESS(ROW($O48),MATCH("Downmove", Price_Header,0)))))</f>
        <v>0.35142857142857054</v>
      </c>
      <c r="R48" s="46">
        <f ca="1">IF(tbl_FDX[[#This Row],[Avg_Upmove]]="", "", tbl_FDX[[#This Row],[Avg_Upmove]]/tbl_FDX[[#This Row],[Avg_Downmove]])</f>
        <v>7.6686991869918879</v>
      </c>
      <c r="S48" s="10">
        <f ca="1">IF(ROW($N48)-4&lt;BB_Periods, "", _xlfn.STDEV.S(INDIRECT(ADDRESS(ROW($F48)-RSI_Periods +1, MATCH("Adj Close", Price_Header,0))): INDIRECT(ADDRESS(ROW($F48),MATCH("Adj Close", Price_Header,0)))))</f>
        <v>9.9381544708116891</v>
      </c>
    </row>
    <row r="49" spans="1:19" x14ac:dyDescent="0.35">
      <c r="A49" s="8">
        <v>44116</v>
      </c>
      <c r="B49" s="10">
        <v>272.26</v>
      </c>
      <c r="C49" s="10">
        <v>274.20999999999998</v>
      </c>
      <c r="D49" s="10">
        <v>271.32</v>
      </c>
      <c r="E49" s="10">
        <v>273.5</v>
      </c>
      <c r="F49" s="10">
        <v>273.5</v>
      </c>
      <c r="G49">
        <v>2063600</v>
      </c>
      <c r="H49" s="10">
        <f>IF(tbl_FDX[[#This Row],[Date]]=$A$5, $F49, EMA_Beta*$H48 + (1-EMA_Beta)*$F49)</f>
        <v>254.50646043781154</v>
      </c>
      <c r="I49" s="46">
        <f ca="1">IF(tbl_FDX[[#This Row],[RS]]= "", "", 100-(100/(1+tbl_FDX[[#This Row],[RS]])))</f>
        <v>87.675350701402834</v>
      </c>
      <c r="J49" s="10">
        <f ca="1">IF(ROW($N49)-4&lt;BB_Periods, "", AVERAGE(INDIRECT(ADDRESS(ROW($F49)-RSI_Periods +1, MATCH("Adj Close", Price_Header,0))): INDIRECT(ADDRESS(ROW($F49),MATCH("Adj Close", Price_Header,0)))))</f>
        <v>257.47142857142859</v>
      </c>
      <c r="K49" s="10">
        <f ca="1">IF(tbl_FDX[[#This Row],[BB_Mean]]="", "", tbl_FDX[[#This Row],[BB_Mean]]+(BB_Width*tbl_FDX[[#This Row],[BB_Stdev]]))</f>
        <v>278.28615243868973</v>
      </c>
      <c r="L49" s="127">
        <f ca="1">IF(tbl_FDX[[#This Row],[BB_Mean]]="", "", tbl_FDX[[#This Row],[BB_Mean]]-(BB_Width*tbl_FDX[[#This Row],[BB_Stdev]]))</f>
        <v>236.65670470416745</v>
      </c>
      <c r="M49" s="46">
        <f>IF(ROW(tbl_FDX[[#This Row],[Adj Close]])=5, 0, $F49-$F48)</f>
        <v>1.9499999999999886</v>
      </c>
      <c r="N49" s="46">
        <f>MAX(tbl_FDX[[#This Row],[Move]],0)</f>
        <v>1.9499999999999886</v>
      </c>
      <c r="O49" s="46">
        <f>MAX(-tbl_FDX[[#This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2.5</v>
      </c>
      <c r="Q49" s="46">
        <f ca="1">IF(ROW($O49)-5&lt;RSI_Periods, "", AVERAGE(INDIRECT(ADDRESS(ROW($O49)-RSI_Periods +1, MATCH("Downmove", Price_Header,0))): INDIRECT(ADDRESS(ROW($O49),MATCH("Downmove", Price_Header,0)))))</f>
        <v>0.35142857142857054</v>
      </c>
      <c r="R49" s="46">
        <f ca="1">IF(tbl_FDX[[#This Row],[Avg_Upmove]]="", "", tbl_FDX[[#This Row],[Avg_Upmove]]/tbl_FDX[[#This Row],[Avg_Downmove]])</f>
        <v>7.1138211382114003</v>
      </c>
      <c r="S49" s="10">
        <f ca="1">IF(ROW($N49)-4&lt;BB_Periods, "", _xlfn.STDEV.S(INDIRECT(ADDRESS(ROW($F49)-RSI_Periods +1, MATCH("Adj Close", Price_Header,0))): INDIRECT(ADDRESS(ROW($F49),MATCH("Adj Close", Price_Header,0)))))</f>
        <v>10.407361933630565</v>
      </c>
    </row>
    <row r="50" spans="1:19" x14ac:dyDescent="0.35">
      <c r="A50" s="8">
        <v>44117</v>
      </c>
      <c r="B50" s="10">
        <v>272.32</v>
      </c>
      <c r="C50" s="10">
        <v>275.24</v>
      </c>
      <c r="D50" s="10">
        <v>271.85000000000002</v>
      </c>
      <c r="E50" s="10">
        <v>272.24</v>
      </c>
      <c r="F50" s="10">
        <v>272.24</v>
      </c>
      <c r="G50">
        <v>1657100</v>
      </c>
      <c r="H50" s="10">
        <f>IF(tbl_FDX[[#This Row],[Date]]=$A$5, $F50, EMA_Beta*$H49 + (1-EMA_Beta)*$F50)</f>
        <v>256.27981439403038</v>
      </c>
      <c r="I50" s="46">
        <f ca="1">IF(tbl_FDX[[#This Row],[RS]]= "", "", 100-(100/(1+tbl_FDX[[#This Row],[RS]])))</f>
        <v>89.331291475242523</v>
      </c>
      <c r="J50" s="10">
        <f ca="1">IF(ROW($N50)-4&lt;BB_Periods, "", AVERAGE(INDIRECT(ADDRESS(ROW($F50)-RSI_Periods +1, MATCH("Adj Close", Price_Header,0))): INDIRECT(ADDRESS(ROW($F50),MATCH("Adj Close", Price_Header,0)))))</f>
        <v>259.67285714285714</v>
      </c>
      <c r="K50" s="10">
        <f ca="1">IF(tbl_FDX[[#This Row],[BB_Mean]]="", "", tbl_FDX[[#This Row],[BB_Mean]]+(BB_Width*tbl_FDX[[#This Row],[BB_Stdev]]))</f>
        <v>279.67813095302483</v>
      </c>
      <c r="L50" s="127">
        <f ca="1">IF(tbl_FDX[[#This Row],[BB_Mean]]="", "", tbl_FDX[[#This Row],[BB_Mean]]-(BB_Width*tbl_FDX[[#This Row],[BB_Stdev]]))</f>
        <v>239.66758333268947</v>
      </c>
      <c r="M50" s="46">
        <f>IF(ROW(tbl_FDX[[#This Row],[Adj Close]])=5, 0, $F50-$F49)</f>
        <v>-1.2599999999999909</v>
      </c>
      <c r="N50" s="46">
        <f>MAX(tbl_FDX[[#This Row],[Move]],0)</f>
        <v>0</v>
      </c>
      <c r="O50" s="46">
        <f>MAX(-tbl_FDX[[#This Row],[Move]],0)</f>
        <v>1.2599999999999909</v>
      </c>
      <c r="P50" s="46">
        <f ca="1">IF(ROW($N50)-5&lt;RSI_Periods, "", AVERAGE(INDIRECT(ADDRESS(ROW($N50)-RSI_Periods +1, MATCH("Upmove", Price_Header,0))): INDIRECT(ADDRESS(ROW($N50),MATCH("Upmove", Price_Header,0)))))</f>
        <v>2.5</v>
      </c>
      <c r="Q50" s="46">
        <f ca="1">IF(ROW($O50)-5&lt;RSI_Periods, "", AVERAGE(INDIRECT(ADDRESS(ROW($O50)-RSI_Periods +1, MATCH("Downmove", Price_Header,0))): INDIRECT(ADDRESS(ROW($O50),MATCH("Downmove", Price_Header,0)))))</f>
        <v>0.29857142857142704</v>
      </c>
      <c r="R50" s="46">
        <f ca="1">IF(tbl_FDX[[#This Row],[Avg_Upmove]]="", "", tbl_FDX[[#This Row],[Avg_Upmove]]/tbl_FDX[[#This Row],[Avg_Downmove]])</f>
        <v>8.3732057416268368</v>
      </c>
      <c r="S50" s="10">
        <f ca="1">IF(ROW($N50)-4&lt;BB_Periods, "", _xlfn.STDEV.S(INDIRECT(ADDRESS(ROW($F50)-RSI_Periods +1, MATCH("Adj Close", Price_Header,0))): INDIRECT(ADDRESS(ROW($F50),MATCH("Adj Close", Price_Header,0)))))</f>
        <v>10.002636905083834</v>
      </c>
    </row>
    <row r="51" spans="1:19" x14ac:dyDescent="0.35">
      <c r="A51" s="8">
        <v>44118</v>
      </c>
      <c r="B51" s="10">
        <v>274.75</v>
      </c>
      <c r="C51" s="10">
        <v>278.95999999999998</v>
      </c>
      <c r="D51" s="10">
        <v>273.77</v>
      </c>
      <c r="E51" s="10">
        <v>276.24</v>
      </c>
      <c r="F51" s="10">
        <v>276.24</v>
      </c>
      <c r="G51">
        <v>2080600</v>
      </c>
      <c r="H51" s="10">
        <f>IF(tbl_FDX[[#This Row],[Date]]=$A$5, $F51, EMA_Beta*$H50 + (1-EMA_Beta)*$F51)</f>
        <v>258.27583295462733</v>
      </c>
      <c r="I51" s="46">
        <f ca="1">IF(tbl_FDX[[#This Row],[RS]]= "", "", 100-(100/(1+tbl_FDX[[#This Row],[RS]])))</f>
        <v>90.319592403890738</v>
      </c>
      <c r="J51" s="10">
        <f ca="1">IF(ROW($N51)-4&lt;BB_Periods, "", AVERAGE(INDIRECT(ADDRESS(ROW($F51)-RSI_Periods +1, MATCH("Adj Close", Price_Header,0))): INDIRECT(ADDRESS(ROW($F51),MATCH("Adj Close", Price_Header,0)))))</f>
        <v>262.15999999999997</v>
      </c>
      <c r="K51" s="10">
        <f ca="1">IF(tbl_FDX[[#This Row],[BB_Mean]]="", "", tbl_FDX[[#This Row],[BB_Mean]]+(BB_Width*tbl_FDX[[#This Row],[BB_Stdev]]))</f>
        <v>281.01480391754922</v>
      </c>
      <c r="L51" s="127">
        <f ca="1">IF(tbl_FDX[[#This Row],[BB_Mean]]="", "", tbl_FDX[[#This Row],[BB_Mean]]-(BB_Width*tbl_FDX[[#This Row],[BB_Stdev]]))</f>
        <v>243.30519608245072</v>
      </c>
      <c r="M51" s="46">
        <f>IF(ROW(tbl_FDX[[#This Row],[Adj Close]])=5, 0, $F51-$F50)</f>
        <v>4</v>
      </c>
      <c r="N51" s="46">
        <f>MAX(tbl_FDX[[#This Row],[Move]],0)</f>
        <v>4</v>
      </c>
      <c r="O51" s="46">
        <f>MAX(-tbl_FDX[[#This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2.7857142857142856</v>
      </c>
      <c r="Q51" s="46">
        <f ca="1">IF(ROW($O51)-5&lt;RSI_Periods, "", AVERAGE(INDIRECT(ADDRESS(ROW($O51)-RSI_Periods +1, MATCH("Downmove", Price_Header,0))): INDIRECT(ADDRESS(ROW($O51),MATCH("Downmove", Price_Header,0)))))</f>
        <v>0.29857142857142704</v>
      </c>
      <c r="R51" s="46">
        <f ca="1">IF(tbl_FDX[[#This Row],[Avg_Upmove]]="", "", tbl_FDX[[#This Row],[Avg_Upmove]]/tbl_FDX[[#This Row],[Avg_Downmove]])</f>
        <v>9.3301435406699031</v>
      </c>
      <c r="S51" s="10">
        <f ca="1">IF(ROW($N51)-4&lt;BB_Periods, "", _xlfn.STDEV.S(INDIRECT(ADDRESS(ROW($F51)-RSI_Periods +1, MATCH("Adj Close", Price_Header,0))): INDIRECT(ADDRESS(ROW($F51),MATCH("Adj Close", Price_Header,0)))))</f>
        <v>9.4274019587746309</v>
      </c>
    </row>
    <row r="52" spans="1:19" x14ac:dyDescent="0.35">
      <c r="A52" s="8">
        <v>44119</v>
      </c>
      <c r="B52" s="10">
        <v>273.08999999999997</v>
      </c>
      <c r="C52" s="10">
        <v>282.14</v>
      </c>
      <c r="D52" s="10">
        <v>271.75</v>
      </c>
      <c r="E52" s="10">
        <v>282.11</v>
      </c>
      <c r="F52" s="10">
        <v>282.11</v>
      </c>
      <c r="G52">
        <v>2254700</v>
      </c>
      <c r="H52" s="10">
        <f>IF(tbl_FDX[[#This Row],[Date]]=$A$5, $F52, EMA_Beta*$H51 + (1-EMA_Beta)*$F52)</f>
        <v>260.65924965916463</v>
      </c>
      <c r="I52" s="46">
        <f ca="1">IF(tbl_FDX[[#This Row],[RS]]= "", "", 100-(100/(1+tbl_FDX[[#This Row],[RS]])))</f>
        <v>89.62779156327548</v>
      </c>
      <c r="J52" s="10">
        <f ca="1">IF(ROW($N52)-4&lt;BB_Periods, "", AVERAGE(INDIRECT(ADDRESS(ROW($F52)-RSI_Periods +1, MATCH("Adj Close", Price_Header,0))): INDIRECT(ADDRESS(ROW($F52),MATCH("Adj Close", Price_Header,0)))))</f>
        <v>264.44142857142856</v>
      </c>
      <c r="K52" s="10">
        <f ca="1">IF(tbl_FDX[[#This Row],[BB_Mean]]="", "", tbl_FDX[[#This Row],[BB_Mean]]+(BB_Width*tbl_FDX[[#This Row],[BB_Stdev]]))</f>
        <v>284.72222943126849</v>
      </c>
      <c r="L52" s="127">
        <f ca="1">IF(tbl_FDX[[#This Row],[BB_Mean]]="", "", tbl_FDX[[#This Row],[BB_Mean]]-(BB_Width*tbl_FDX[[#This Row],[BB_Stdev]]))</f>
        <v>244.16062771158863</v>
      </c>
      <c r="M52" s="46">
        <f>IF(ROW(tbl_FDX[[#This Row],[Adj Close]])=5, 0, $F52-$F51)</f>
        <v>5.8700000000000045</v>
      </c>
      <c r="N52" s="46">
        <f>MAX(tbl_FDX[[#This Row],[Move]],0)</f>
        <v>5.8700000000000045</v>
      </c>
      <c r="O52" s="46">
        <f>MAX(-tbl_FDX[[#This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2.5800000000000005</v>
      </c>
      <c r="Q52" s="46">
        <f ca="1">IF(ROW($O52)-5&lt;RSI_Periods, "", AVERAGE(INDIRECT(ADDRESS(ROW($O52)-RSI_Periods +1, MATCH("Downmove", Price_Header,0))): INDIRECT(ADDRESS(ROW($O52),MATCH("Downmove", Price_Header,0)))))</f>
        <v>0.29857142857142704</v>
      </c>
      <c r="R52" s="46">
        <f ca="1">IF(tbl_FDX[[#This Row],[Avg_Upmove]]="", "", tbl_FDX[[#This Row],[Avg_Upmove]]/tbl_FDX[[#This Row],[Avg_Downmove]])</f>
        <v>8.6411483253588983</v>
      </c>
      <c r="S52" s="10">
        <f ca="1">IF(ROW($N52)-4&lt;BB_Periods, "", _xlfn.STDEV.S(INDIRECT(ADDRESS(ROW($F52)-RSI_Periods +1, MATCH("Adj Close", Price_Header,0))): INDIRECT(ADDRESS(ROW($F52),MATCH("Adj Close", Price_Header,0)))))</f>
        <v>10.140400429919962</v>
      </c>
    </row>
    <row r="53" spans="1:19" x14ac:dyDescent="0.35">
      <c r="A53" s="8">
        <v>44120</v>
      </c>
      <c r="B53" s="10">
        <v>284</v>
      </c>
      <c r="C53" s="10">
        <v>287.16000000000003</v>
      </c>
      <c r="D53" s="10">
        <v>282</v>
      </c>
      <c r="E53" s="10">
        <v>283.87</v>
      </c>
      <c r="F53" s="10">
        <v>283.87</v>
      </c>
      <c r="G53">
        <v>2990300</v>
      </c>
      <c r="H53" s="10">
        <f>IF(tbl_FDX[[#This Row],[Date]]=$A$5, $F53, EMA_Beta*$H52 + (1-EMA_Beta)*$F53)</f>
        <v>262.98032469324818</v>
      </c>
      <c r="I53" s="46">
        <f ca="1">IF(tbl_FDX[[#This Row],[RS]]= "", "", 100-(100/(1+tbl_FDX[[#This Row],[RS]])))</f>
        <v>88.938872717650213</v>
      </c>
      <c r="J53" s="10">
        <f ca="1">IF(ROW($N53)-4&lt;BB_Periods, "", AVERAGE(INDIRECT(ADDRESS(ROW($F53)-RSI_Periods +1, MATCH("Adj Close", Price_Header,0))): INDIRECT(ADDRESS(ROW($F53),MATCH("Adj Close", Price_Header,0)))))</f>
        <v>266.54357142857145</v>
      </c>
      <c r="K53" s="10">
        <f ca="1">IF(tbl_FDX[[#This Row],[BB_Mean]]="", "", tbl_FDX[[#This Row],[BB_Mean]]+(BB_Width*tbl_FDX[[#This Row],[BB_Stdev]]))</f>
        <v>288.39858403035635</v>
      </c>
      <c r="L53" s="127">
        <f ca="1">IF(tbl_FDX[[#This Row],[BB_Mean]]="", "", tbl_FDX[[#This Row],[BB_Mean]]-(BB_Width*tbl_FDX[[#This Row],[BB_Stdev]]))</f>
        <v>244.68855882678656</v>
      </c>
      <c r="M53" s="46">
        <f>IF(ROW(tbl_FDX[[#This Row],[Adj Close]])=5, 0, $F53-$F52)</f>
        <v>1.7599999999999909</v>
      </c>
      <c r="N53" s="46">
        <f>MAX(tbl_FDX[[#This Row],[Move]],0)</f>
        <v>1.7599999999999909</v>
      </c>
      <c r="O53" s="46">
        <f>MAX(-tbl_FDX[[#This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2.4007142857142845</v>
      </c>
      <c r="Q53" s="46">
        <f ca="1">IF(ROW($O53)-5&lt;RSI_Periods, "", AVERAGE(INDIRECT(ADDRESS(ROW($O53)-RSI_Periods +1, MATCH("Downmove", Price_Header,0))): INDIRECT(ADDRESS(ROW($O53),MATCH("Downmove", Price_Header,0)))))</f>
        <v>0.29857142857142704</v>
      </c>
      <c r="R53" s="46">
        <f ca="1">IF(tbl_FDX[[#This Row],[Avg_Upmove]]="", "", tbl_FDX[[#This Row],[Avg_Upmove]]/tbl_FDX[[#This Row],[Avg_Downmove]])</f>
        <v>8.0406698564593668</v>
      </c>
      <c r="S53" s="10">
        <f ca="1">IF(ROW($N53)-4&lt;BB_Periods, "", _xlfn.STDEV.S(INDIRECT(ADDRESS(ROW($F53)-RSI_Periods +1, MATCH("Adj Close", Price_Header,0))): INDIRECT(ADDRESS(ROW($F53),MATCH("Adj Close", Price_Header,0)))))</f>
        <v>10.927506300892443</v>
      </c>
    </row>
    <row r="54" spans="1:19" x14ac:dyDescent="0.35">
      <c r="A54" s="8">
        <v>44123</v>
      </c>
      <c r="B54" s="10">
        <v>284.81</v>
      </c>
      <c r="C54" s="10">
        <v>291.22000000000003</v>
      </c>
      <c r="D54" s="10">
        <v>279.56</v>
      </c>
      <c r="E54" s="10">
        <v>281.97000000000003</v>
      </c>
      <c r="F54" s="10">
        <v>281.97000000000003</v>
      </c>
      <c r="G54">
        <v>3450900</v>
      </c>
      <c r="H54" s="10">
        <f>IF(tbl_FDX[[#This Row],[Date]]=$A$5, $F54, EMA_Beta*$H53 + (1-EMA_Beta)*$F54)</f>
        <v>264.87929222392336</v>
      </c>
      <c r="I54" s="46">
        <f ca="1">IF(tbl_FDX[[#This Row],[RS]]= "", "", 100-(100/(1+tbl_FDX[[#This Row],[RS]])))</f>
        <v>86.735483870967826</v>
      </c>
      <c r="J54" s="10">
        <f ca="1">IF(ROW($N54)-4&lt;BB_Periods, "", AVERAGE(INDIRECT(ADDRESS(ROW($F54)-RSI_Periods +1, MATCH("Adj Close", Price_Header,0))): INDIRECT(ADDRESS(ROW($F54),MATCH("Adj Close", Price_Header,0)))))</f>
        <v>268.57714285714286</v>
      </c>
      <c r="K54" s="10">
        <f ca="1">IF(tbl_FDX[[#This Row],[BB_Mean]]="", "", tbl_FDX[[#This Row],[BB_Mean]]+(BB_Width*tbl_FDX[[#This Row],[BB_Stdev]]))</f>
        <v>290.50204465125177</v>
      </c>
      <c r="L54" s="127">
        <f ca="1">IF(tbl_FDX[[#This Row],[BB_Mean]]="", "", tbl_FDX[[#This Row],[BB_Mean]]-(BB_Width*tbl_FDX[[#This Row],[BB_Stdev]]))</f>
        <v>246.65224106303396</v>
      </c>
      <c r="M54" s="46">
        <f>IF(ROW(tbl_FDX[[#This Row],[Adj Close]])=5, 0, $F54-$F53)</f>
        <v>-1.8999999999999773</v>
      </c>
      <c r="N54" s="46">
        <f>MAX(tbl_FDX[[#This Row],[Move]],0)</f>
        <v>0</v>
      </c>
      <c r="O54" s="46">
        <f>MAX(-tbl_FDX[[#This Row],[Move]],0)</f>
        <v>1.8999999999999773</v>
      </c>
      <c r="P54" s="46">
        <f ca="1">IF(ROW($N54)-5&lt;RSI_Periods, "", AVERAGE(INDIRECT(ADDRESS(ROW($N54)-RSI_Periods +1, MATCH("Upmove", Price_Header,0))): INDIRECT(ADDRESS(ROW($N54),MATCH("Upmove", Price_Header,0)))))</f>
        <v>2.4007142857142845</v>
      </c>
      <c r="Q54" s="46">
        <f ca="1">IF(ROW($O54)-5&lt;RSI_Periods, "", AVERAGE(INDIRECT(ADDRESS(ROW($O54)-RSI_Periods +1, MATCH("Downmove", Price_Header,0))): INDIRECT(ADDRESS(ROW($O54),MATCH("Downmove", Price_Header,0)))))</f>
        <v>0.36714285714285416</v>
      </c>
      <c r="R54" s="46">
        <f ca="1">IF(tbl_FDX[[#This Row],[Avg_Upmove]]="", "", tbl_FDX[[#This Row],[Avg_Upmove]]/tbl_FDX[[#This Row],[Avg_Downmove]])</f>
        <v>6.5389105058366255</v>
      </c>
      <c r="S54" s="10">
        <f ca="1">IF(ROW($N54)-4&lt;BB_Periods, "", _xlfn.STDEV.S(INDIRECT(ADDRESS(ROW($F54)-RSI_Periods +1, MATCH("Adj Close", Price_Header,0))): INDIRECT(ADDRESS(ROW($F54),MATCH("Adj Close", Price_Header,0)))))</f>
        <v>10.962450897054445</v>
      </c>
    </row>
    <row r="55" spans="1:19" x14ac:dyDescent="0.35">
      <c r="A55" s="8">
        <v>44124</v>
      </c>
      <c r="B55" s="10">
        <v>284</v>
      </c>
      <c r="C55" s="10">
        <v>292.69</v>
      </c>
      <c r="D55" s="10">
        <v>283.11</v>
      </c>
      <c r="E55" s="10">
        <v>287.39999999999998</v>
      </c>
      <c r="F55" s="10">
        <v>287.39999999999998</v>
      </c>
      <c r="G55">
        <v>3924900</v>
      </c>
      <c r="H55" s="10">
        <f>IF(tbl_FDX[[#This Row],[Date]]=$A$5, $F55, EMA_Beta*$H54 + (1-EMA_Beta)*$F55)</f>
        <v>267.13136300153104</v>
      </c>
      <c r="I55" s="46">
        <f ca="1">IF(tbl_FDX[[#This Row],[RS]]= "", "", 100-(100/(1+tbl_FDX[[#This Row],[RS]])))</f>
        <v>92.51184834123228</v>
      </c>
      <c r="J55" s="10">
        <f ca="1">IF(ROW($N55)-4&lt;BB_Periods, "", AVERAGE(INDIRECT(ADDRESS(ROW($F55)-RSI_Periods +1, MATCH("Adj Close", Price_Header,0))): INDIRECT(ADDRESS(ROW($F55),MATCH("Adj Close", Price_Header,0)))))</f>
        <v>271.14</v>
      </c>
      <c r="K55" s="10">
        <f ca="1">IF(tbl_FDX[[#This Row],[BB_Mean]]="", "", tbl_FDX[[#This Row],[BB_Mean]]+(BB_Width*tbl_FDX[[#This Row],[BB_Stdev]]))</f>
        <v>292.86327925379732</v>
      </c>
      <c r="L55" s="127">
        <f ca="1">IF(tbl_FDX[[#This Row],[BB_Mean]]="", "", tbl_FDX[[#This Row],[BB_Mean]]-(BB_Width*tbl_FDX[[#This Row],[BB_Stdev]]))</f>
        <v>249.41672074620266</v>
      </c>
      <c r="M55" s="46">
        <f>IF(ROW(tbl_FDX[[#This Row],[Adj Close]])=5, 0, $F55-$F54)</f>
        <v>5.42999999999995</v>
      </c>
      <c r="N55" s="46">
        <f>MAX(tbl_FDX[[#This Row],[Move]],0)</f>
        <v>5.42999999999995</v>
      </c>
      <c r="O55" s="46">
        <f>MAX(-tbl_FDX[[#This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2.7885714285714238</v>
      </c>
      <c r="Q55" s="46">
        <f ca="1">IF(ROW($O55)-5&lt;RSI_Periods, "", AVERAGE(INDIRECT(ADDRESS(ROW($O55)-RSI_Periods +1, MATCH("Downmove", Price_Header,0))): INDIRECT(ADDRESS(ROW($O55),MATCH("Downmove", Price_Header,0)))))</f>
        <v>0.22571428571428345</v>
      </c>
      <c r="R55" s="46">
        <f ca="1">IF(tbl_FDX[[#This Row],[Avg_Upmove]]="", "", tbl_FDX[[#This Row],[Avg_Upmove]]/tbl_FDX[[#This Row],[Avg_Downmove]])</f>
        <v>12.354430379746939</v>
      </c>
      <c r="S55" s="10">
        <f ca="1">IF(ROW($N55)-4&lt;BB_Periods, "", _xlfn.STDEV.S(INDIRECT(ADDRESS(ROW($F55)-RSI_Periods +1, MATCH("Adj Close", Price_Header,0))): INDIRECT(ADDRESS(ROW($F55),MATCH("Adj Close", Price_Header,0)))))</f>
        <v>10.86163962689867</v>
      </c>
    </row>
    <row r="56" spans="1:19" x14ac:dyDescent="0.35">
      <c r="A56" s="8">
        <v>44125</v>
      </c>
      <c r="B56" s="10">
        <v>289.16000000000003</v>
      </c>
      <c r="C56" s="10">
        <v>293.3</v>
      </c>
      <c r="D56" s="10">
        <v>282.26</v>
      </c>
      <c r="E56" s="10">
        <v>282.27999999999997</v>
      </c>
      <c r="F56" s="10">
        <v>282.27999999999997</v>
      </c>
      <c r="G56">
        <v>3219200</v>
      </c>
      <c r="H56" s="10">
        <f>IF(tbl_FDX[[#This Row],[Date]]=$A$5, $F56, EMA_Beta*$H55 + (1-EMA_Beta)*$F56)</f>
        <v>268.64622670137794</v>
      </c>
      <c r="I56" s="46">
        <f ca="1">IF(tbl_FDX[[#This Row],[RS]]= "", "", 100-(100/(1+tbl_FDX[[#This Row],[RS]])))</f>
        <v>81.501340482573752</v>
      </c>
      <c r="J56" s="10">
        <f ca="1">IF(ROW($N56)-4&lt;BB_Periods, "", AVERAGE(INDIRECT(ADDRESS(ROW($F56)-RSI_Periods +1, MATCH("Adj Close", Price_Header,0))): INDIRECT(ADDRESS(ROW($F56),MATCH("Adj Close", Price_Header,0)))))</f>
        <v>273.15428571428572</v>
      </c>
      <c r="K56" s="10">
        <f ca="1">IF(tbl_FDX[[#This Row],[BB_Mean]]="", "", tbl_FDX[[#This Row],[BB_Mean]]+(BB_Width*tbl_FDX[[#This Row],[BB_Stdev]]))</f>
        <v>293.23053224408494</v>
      </c>
      <c r="L56" s="127">
        <f ca="1">IF(tbl_FDX[[#This Row],[BB_Mean]]="", "", tbl_FDX[[#This Row],[BB_Mean]]-(BB_Width*tbl_FDX[[#This Row],[BB_Stdev]]))</f>
        <v>253.0780391844865</v>
      </c>
      <c r="M56" s="46">
        <f>IF(ROW(tbl_FDX[[#This Row],[Adj Close]])=5, 0, $F56-$F55)</f>
        <v>-5.1200000000000045</v>
      </c>
      <c r="N56" s="46">
        <f>MAX(tbl_FDX[[#This Row],[Move]],0)</f>
        <v>0</v>
      </c>
      <c r="O56" s="46">
        <f>MAX(-tbl_FDX[[#This Row],[Move]],0)</f>
        <v>5.1200000000000045</v>
      </c>
      <c r="P56" s="46">
        <f ca="1">IF(ROW($N56)-5&lt;RSI_Periods, "", AVERAGE(INDIRECT(ADDRESS(ROW($N56)-RSI_Periods +1, MATCH("Upmove", Price_Header,0))): INDIRECT(ADDRESS(ROW($N56),MATCH("Upmove", Price_Header,0)))))</f>
        <v>2.605714285714281</v>
      </c>
      <c r="Q56" s="46">
        <f ca="1">IF(ROW($O56)-5&lt;RSI_Periods, "", AVERAGE(INDIRECT(ADDRESS(ROW($O56)-RSI_Periods +1, MATCH("Downmove", Price_Header,0))): INDIRECT(ADDRESS(ROW($O56),MATCH("Downmove", Price_Header,0)))))</f>
        <v>0.59142857142856953</v>
      </c>
      <c r="R56" s="46">
        <f ca="1">IF(tbl_FDX[[#This Row],[Avg_Upmove]]="", "", tbl_FDX[[#This Row],[Avg_Upmove]]/tbl_FDX[[#This Row],[Avg_Downmove]])</f>
        <v>4.4057971014492816</v>
      </c>
      <c r="S56" s="10">
        <f ca="1">IF(ROW($N56)-4&lt;BB_Periods, "", _xlfn.STDEV.S(INDIRECT(ADDRESS(ROW($F56)-RSI_Periods +1, MATCH("Adj Close", Price_Header,0))): INDIRECT(ADDRESS(ROW($F56),MATCH("Adj Close", Price_Header,0)))))</f>
        <v>10.03812326489961</v>
      </c>
    </row>
    <row r="57" spans="1:19" x14ac:dyDescent="0.35">
      <c r="A57" s="8">
        <v>44126</v>
      </c>
      <c r="B57" s="10">
        <v>283.58</v>
      </c>
      <c r="C57" s="10">
        <v>285.64</v>
      </c>
      <c r="D57" s="10">
        <v>274.02</v>
      </c>
      <c r="E57" s="10">
        <v>275.95</v>
      </c>
      <c r="F57" s="10">
        <v>275.95</v>
      </c>
      <c r="G57">
        <v>2962900</v>
      </c>
      <c r="H57" s="10">
        <f>IF(tbl_FDX[[#This Row],[Date]]=$A$5, $F57, EMA_Beta*$H56 + (1-EMA_Beta)*$F57)</f>
        <v>269.37660403124016</v>
      </c>
      <c r="I57" s="46">
        <f ca="1">IF(tbl_FDX[[#This Row],[RS]]= "", "", 100-(100/(1+tbl_FDX[[#This Row],[RS]])))</f>
        <v>70.762457474484734</v>
      </c>
      <c r="J57" s="10">
        <f ca="1">IF(ROW($N57)-4&lt;BB_Periods, "", AVERAGE(INDIRECT(ADDRESS(ROW($F57)-RSI_Periods +1, MATCH("Adj Close", Price_Header,0))): INDIRECT(ADDRESS(ROW($F57),MATCH("Adj Close", Price_Header,0)))))</f>
        <v>274.63642857142855</v>
      </c>
      <c r="K57" s="10">
        <f ca="1">IF(tbl_FDX[[#This Row],[BB_Mean]]="", "", tbl_FDX[[#This Row],[BB_Mean]]+(BB_Width*tbl_FDX[[#This Row],[BB_Stdev]]))</f>
        <v>291.86463550905603</v>
      </c>
      <c r="L57" s="127">
        <f ca="1">IF(tbl_FDX[[#This Row],[BB_Mean]]="", "", tbl_FDX[[#This Row],[BB_Mean]]-(BB_Width*tbl_FDX[[#This Row],[BB_Stdev]]))</f>
        <v>257.40822163380108</v>
      </c>
      <c r="M57" s="46">
        <f>IF(ROW(tbl_FDX[[#This Row],[Adj Close]])=5, 0, $F57-$F56)</f>
        <v>-6.3299999999999841</v>
      </c>
      <c r="N57" s="46">
        <f>MAX(tbl_FDX[[#This Row],[Move]],0)</f>
        <v>0</v>
      </c>
      <c r="O57" s="46">
        <f>MAX(-tbl_FDX[[#This Row],[Move]],0)</f>
        <v>6.3299999999999841</v>
      </c>
      <c r="P57" s="46">
        <f ca="1">IF(ROW($N57)-5&lt;RSI_Periods, "", AVERAGE(INDIRECT(ADDRESS(ROW($N57)-RSI_Periods +1, MATCH("Upmove", Price_Header,0))): INDIRECT(ADDRESS(ROW($N57),MATCH("Upmove", Price_Header,0)))))</f>
        <v>2.5257142857142827</v>
      </c>
      <c r="Q57" s="46">
        <f ca="1">IF(ROW($O57)-5&lt;RSI_Periods, "", AVERAGE(INDIRECT(ADDRESS(ROW($O57)-RSI_Periods +1, MATCH("Downmove", Price_Header,0))): INDIRECT(ADDRESS(ROW($O57),MATCH("Downmove", Price_Header,0)))))</f>
        <v>1.0435714285714255</v>
      </c>
      <c r="R57" s="46">
        <f ca="1">IF(tbl_FDX[[#This Row],[Avg_Upmove]]="", "", tbl_FDX[[#This Row],[Avg_Upmove]]/tbl_FDX[[#This Row],[Avg_Downmove]])</f>
        <v>2.4202600958247817</v>
      </c>
      <c r="S57" s="10">
        <f ca="1">IF(ROW($N57)-4&lt;BB_Periods, "", _xlfn.STDEV.S(INDIRECT(ADDRESS(ROW($F57)-RSI_Periods +1, MATCH("Adj Close", Price_Header,0))): INDIRECT(ADDRESS(ROW($F57),MATCH("Adj Close", Price_Header,0)))))</f>
        <v>8.6141034688137239</v>
      </c>
    </row>
    <row r="58" spans="1:19" x14ac:dyDescent="0.35">
      <c r="A58" s="8">
        <v>44127</v>
      </c>
      <c r="B58" s="10">
        <v>278.29000000000002</v>
      </c>
      <c r="C58" s="10">
        <v>283.87</v>
      </c>
      <c r="D58" s="10">
        <v>276.86</v>
      </c>
      <c r="E58" s="10">
        <v>283.56</v>
      </c>
      <c r="F58" s="10">
        <v>283.56</v>
      </c>
      <c r="G58">
        <v>2498300</v>
      </c>
      <c r="H58" s="10">
        <f>IF(tbl_FDX[[#This Row],[Date]]=$A$5, $F58, EMA_Beta*$H57 + (1-EMA_Beta)*$F58)</f>
        <v>270.79494362811613</v>
      </c>
      <c r="I58" s="46">
        <f ca="1">IF(tbl_FDX[[#This Row],[RS]]= "", "", 100-(100/(1+tbl_FDX[[#This Row],[RS]])))</f>
        <v>72.727272727272776</v>
      </c>
      <c r="J58" s="10">
        <f ca="1">IF(ROW($N58)-4&lt;BB_Periods, "", AVERAGE(INDIRECT(ADDRESS(ROW($F58)-RSI_Periods +1, MATCH("Adj Close", Price_Header,0))): INDIRECT(ADDRESS(ROW($F58),MATCH("Adj Close", Price_Header,0)))))</f>
        <v>276.37571428571425</v>
      </c>
      <c r="K58" s="10">
        <f ca="1">IF(tbl_FDX[[#This Row],[BB_Mean]]="", "", tbl_FDX[[#This Row],[BB_Mean]]+(BB_Width*tbl_FDX[[#This Row],[BB_Stdev]]))</f>
        <v>291.70733011562743</v>
      </c>
      <c r="L58" s="127">
        <f ca="1">IF(tbl_FDX[[#This Row],[BB_Mean]]="", "", tbl_FDX[[#This Row],[BB_Mean]]-(BB_Width*tbl_FDX[[#This Row],[BB_Stdev]]))</f>
        <v>261.04409845580108</v>
      </c>
      <c r="M58" s="46">
        <f>IF(ROW(tbl_FDX[[#This Row],[Adj Close]])=5, 0, $F58-$F57)</f>
        <v>7.6100000000000136</v>
      </c>
      <c r="N58" s="46">
        <f>MAX(tbl_FDX[[#This Row],[Move]],0)</f>
        <v>7.6100000000000136</v>
      </c>
      <c r="O58" s="46">
        <f>MAX(-tbl_FDX[[#This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2.7828571428571416</v>
      </c>
      <c r="Q58" s="46">
        <f ca="1">IF(ROW($O58)-5&lt;RSI_Periods, "", AVERAGE(INDIRECT(ADDRESS(ROW($O58)-RSI_Periods +1, MATCH("Downmove", Price_Header,0))): INDIRECT(ADDRESS(ROW($O58),MATCH("Downmove", Price_Header,0)))))</f>
        <v>1.0435714285714255</v>
      </c>
      <c r="R58" s="46">
        <f ca="1">IF(tbl_FDX[[#This Row],[Avg_Upmove]]="", "", tbl_FDX[[#This Row],[Avg_Upmove]]/tbl_FDX[[#This Row],[Avg_Downmove]])</f>
        <v>2.6666666666666732</v>
      </c>
      <c r="S58" s="10">
        <f ca="1">IF(ROW($N58)-4&lt;BB_Periods, "", _xlfn.STDEV.S(INDIRECT(ADDRESS(ROW($F58)-RSI_Periods +1, MATCH("Adj Close", Price_Header,0))): INDIRECT(ADDRESS(ROW($F58),MATCH("Adj Close", Price_Header,0)))))</f>
        <v>7.6658079149565852</v>
      </c>
    </row>
    <row r="59" spans="1:19" x14ac:dyDescent="0.35">
      <c r="A59" s="8">
        <v>44130</v>
      </c>
      <c r="B59" s="10">
        <v>279.99</v>
      </c>
      <c r="C59" s="10">
        <v>280.5</v>
      </c>
      <c r="D59" s="10">
        <v>273.39999999999998</v>
      </c>
      <c r="E59" s="10">
        <v>277.62</v>
      </c>
      <c r="F59" s="10">
        <v>277.62</v>
      </c>
      <c r="G59">
        <v>2321400</v>
      </c>
      <c r="H59" s="10">
        <f>IF(tbl_FDX[[#This Row],[Date]]=$A$5, $F59, EMA_Beta*$H58 + (1-EMA_Beta)*$F59)</f>
        <v>271.47744926530453</v>
      </c>
      <c r="I59" s="46">
        <f ca="1">IF(tbl_FDX[[#This Row],[RS]]= "", "", 100-(100/(1+tbl_FDX[[#This Row],[RS]])))</f>
        <v>65.433137089991618</v>
      </c>
      <c r="J59" s="10">
        <f ca="1">IF(ROW($N59)-4&lt;BB_Periods, "", AVERAGE(INDIRECT(ADDRESS(ROW($F59)-RSI_Periods +1, MATCH("Adj Close", Price_Header,0))): INDIRECT(ADDRESS(ROW($F59),MATCH("Adj Close", Price_Header,0)))))</f>
        <v>277.68642857142856</v>
      </c>
      <c r="K59" s="10">
        <f ca="1">IF(tbl_FDX[[#This Row],[BB_Mean]]="", "", tbl_FDX[[#This Row],[BB_Mean]]+(BB_Width*tbl_FDX[[#This Row],[BB_Stdev]]))</f>
        <v>289.43810434624822</v>
      </c>
      <c r="L59" s="127">
        <f ca="1">IF(tbl_FDX[[#This Row],[BB_Mean]]="", "", tbl_FDX[[#This Row],[BB_Mean]]-(BB_Width*tbl_FDX[[#This Row],[BB_Stdev]]))</f>
        <v>265.9347527966089</v>
      </c>
      <c r="M59" s="46">
        <f>IF(ROW(tbl_FDX[[#This Row],[Adj Close]])=5, 0, $F59-$F58)</f>
        <v>-5.9399999999999977</v>
      </c>
      <c r="N59" s="46">
        <f>MAX(tbl_FDX[[#This Row],[Move]],0)</f>
        <v>0</v>
      </c>
      <c r="O59" s="46">
        <f>MAX(-tbl_FDX[[#This Row],[Move]],0)</f>
        <v>5.9399999999999977</v>
      </c>
      <c r="P59" s="46">
        <f ca="1">IF(ROW($N59)-5&lt;RSI_Periods, "", AVERAGE(INDIRECT(ADDRESS(ROW($N59)-RSI_Periods +1, MATCH("Upmove", Price_Header,0))): INDIRECT(ADDRESS(ROW($N59),MATCH("Upmove", Price_Header,0)))))</f>
        <v>2.7785714285714271</v>
      </c>
      <c r="Q59" s="46">
        <f ca="1">IF(ROW($O59)-5&lt;RSI_Periods, "", AVERAGE(INDIRECT(ADDRESS(ROW($O59)-RSI_Periods +1, MATCH("Downmove", Price_Header,0))): INDIRECT(ADDRESS(ROW($O59),MATCH("Downmove", Price_Header,0)))))</f>
        <v>1.4678571428571396</v>
      </c>
      <c r="R59" s="46">
        <f ca="1">IF(tbl_FDX[[#This Row],[Avg_Upmove]]="", "", tbl_FDX[[#This Row],[Avg_Upmove]]/tbl_FDX[[#This Row],[Avg_Downmove]])</f>
        <v>1.8929440389294436</v>
      </c>
      <c r="S59" s="10">
        <f ca="1">IF(ROW($N59)-4&lt;BB_Periods, "", _xlfn.STDEV.S(INDIRECT(ADDRESS(ROW($F59)-RSI_Periods +1, MATCH("Adj Close", Price_Header,0))): INDIRECT(ADDRESS(ROW($F59),MATCH("Adj Close", Price_Header,0)))))</f>
        <v>5.8758378874098343</v>
      </c>
    </row>
    <row r="60" spans="1:19" x14ac:dyDescent="0.35">
      <c r="A60" s="8">
        <v>44131</v>
      </c>
      <c r="B60" s="10">
        <v>279.94</v>
      </c>
      <c r="C60" s="10">
        <v>280.35000000000002</v>
      </c>
      <c r="D60" s="10">
        <v>274.39</v>
      </c>
      <c r="E60" s="10">
        <v>274.41000000000003</v>
      </c>
      <c r="F60" s="10">
        <v>274.41000000000003</v>
      </c>
      <c r="G60">
        <v>1912300</v>
      </c>
      <c r="H60" s="10">
        <f>IF(tbl_FDX[[#This Row],[Date]]=$A$5, $F60, EMA_Beta*$H59 + (1-EMA_Beta)*$F60)</f>
        <v>271.77070433877407</v>
      </c>
      <c r="I60" s="46">
        <f ca="1">IF(tbl_FDX[[#This Row],[RS]]= "", "", 100-(100/(1+tbl_FDX[[#This Row],[RS]])))</f>
        <v>55.729457797652358</v>
      </c>
      <c r="J60" s="10">
        <f ca="1">IF(ROW($N60)-4&lt;BB_Periods, "", AVERAGE(INDIRECT(ADDRESS(ROW($F60)-RSI_Periods +1, MATCH("Adj Close", Price_Header,0))): INDIRECT(ADDRESS(ROW($F60),MATCH("Adj Close", Price_Header,0)))))</f>
        <v>278.12571428571425</v>
      </c>
      <c r="K60" s="10">
        <f ca="1">IF(tbl_FDX[[#This Row],[BB_Mean]]="", "", tbl_FDX[[#This Row],[BB_Mean]]+(BB_Width*tbl_FDX[[#This Row],[BB_Stdev]]))</f>
        <v>288.7668094123685</v>
      </c>
      <c r="L60" s="127">
        <f ca="1">IF(tbl_FDX[[#This Row],[BB_Mean]]="", "", tbl_FDX[[#This Row],[BB_Mean]]-(BB_Width*tbl_FDX[[#This Row],[BB_Stdev]]))</f>
        <v>267.48461915906</v>
      </c>
      <c r="M60" s="46">
        <f>IF(ROW(tbl_FDX[[#This Row],[Adj Close]])=5, 0, $F60-$F59)</f>
        <v>-3.2099999999999795</v>
      </c>
      <c r="N60" s="46">
        <f>MAX(tbl_FDX[[#This Row],[Move]],0)</f>
        <v>0</v>
      </c>
      <c r="O60" s="46">
        <f>MAX(-tbl_FDX[[#This Row],[Move]],0)</f>
        <v>3.2099999999999795</v>
      </c>
      <c r="P60" s="46">
        <f ca="1">IF(ROW($N60)-5&lt;RSI_Periods, "", AVERAGE(INDIRECT(ADDRESS(ROW($N60)-RSI_Periods +1, MATCH("Upmove", Price_Header,0))): INDIRECT(ADDRESS(ROW($N60),MATCH("Upmove", Price_Header,0)))))</f>
        <v>2.1364285714285693</v>
      </c>
      <c r="Q60" s="46">
        <f ca="1">IF(ROW($O60)-5&lt;RSI_Periods, "", AVERAGE(INDIRECT(ADDRESS(ROW($O60)-RSI_Periods +1, MATCH("Downmove", Price_Header,0))): INDIRECT(ADDRESS(ROW($O60),MATCH("Downmove", Price_Header,0)))))</f>
        <v>1.6971428571428524</v>
      </c>
      <c r="R60" s="46">
        <f ca="1">IF(tbl_FDX[[#This Row],[Avg_Upmove]]="", "", tbl_FDX[[#This Row],[Avg_Upmove]]/tbl_FDX[[#This Row],[Avg_Downmove]])</f>
        <v>1.2588383838383861</v>
      </c>
      <c r="S60" s="10">
        <f ca="1">IF(ROW($N60)-4&lt;BB_Periods, "", _xlfn.STDEV.S(INDIRECT(ADDRESS(ROW($F60)-RSI_Periods +1, MATCH("Adj Close", Price_Header,0))): INDIRECT(ADDRESS(ROW($F60),MATCH("Adj Close", Price_Header,0)))))</f>
        <v>5.3205475633271355</v>
      </c>
    </row>
    <row r="61" spans="1:19" x14ac:dyDescent="0.35">
      <c r="A61" s="8">
        <v>44132</v>
      </c>
      <c r="B61" s="10">
        <v>262.73</v>
      </c>
      <c r="C61" s="10">
        <v>266.92</v>
      </c>
      <c r="D61" s="10">
        <v>258</v>
      </c>
      <c r="E61" s="10">
        <v>259.99</v>
      </c>
      <c r="F61" s="10">
        <v>259.99</v>
      </c>
      <c r="G61">
        <v>4039200</v>
      </c>
      <c r="H61" s="10">
        <f>IF(tbl_FDX[[#This Row],[Date]]=$A$5, $F61, EMA_Beta*$H60 + (1-EMA_Beta)*$F61)</f>
        <v>270.59263390489667</v>
      </c>
      <c r="I61" s="46">
        <f ca="1">IF(tbl_FDX[[#This Row],[RS]]= "", "", 100-(100/(1+tbl_FDX[[#This Row],[RS]])))</f>
        <v>41.522438351968141</v>
      </c>
      <c r="J61" s="10">
        <f ca="1">IF(ROW($N61)-4&lt;BB_Periods, "", AVERAGE(INDIRECT(ADDRESS(ROW($F61)-RSI_Periods +1, MATCH("Adj Close", Price_Header,0))): INDIRECT(ADDRESS(ROW($F61),MATCH("Adj Close", Price_Header,0)))))</f>
        <v>277.33499999999998</v>
      </c>
      <c r="K61" s="10">
        <f ca="1">IF(tbl_FDX[[#This Row],[BB_Mean]]="", "", tbl_FDX[[#This Row],[BB_Mean]]+(BB_Width*tbl_FDX[[#This Row],[BB_Stdev]]))</f>
        <v>291.34854893830084</v>
      </c>
      <c r="L61" s="127">
        <f ca="1">IF(tbl_FDX[[#This Row],[BB_Mean]]="", "", tbl_FDX[[#This Row],[BB_Mean]]-(BB_Width*tbl_FDX[[#This Row],[BB_Stdev]]))</f>
        <v>263.32145106169912</v>
      </c>
      <c r="M61" s="46">
        <f>IF(ROW(tbl_FDX[[#This Row],[Adj Close]])=5, 0, $F61-$F60)</f>
        <v>-14.420000000000016</v>
      </c>
      <c r="N61" s="46">
        <f>MAX(tbl_FDX[[#This Row],[Move]],0)</f>
        <v>0</v>
      </c>
      <c r="O61" s="46">
        <f>MAX(-tbl_FDX[[#This Row],[Move]],0)</f>
        <v>14.420000000000016</v>
      </c>
      <c r="P61" s="46">
        <f ca="1">IF(ROW($N61)-5&lt;RSI_Periods, "", AVERAGE(INDIRECT(ADDRESS(ROW($N61)-RSI_Periods +1, MATCH("Upmove", Price_Header,0))): INDIRECT(ADDRESS(ROW($N61),MATCH("Upmove", Price_Header,0)))))</f>
        <v>1.9364285714285683</v>
      </c>
      <c r="Q61" s="46">
        <f ca="1">IF(ROW($O61)-5&lt;RSI_Periods, "", AVERAGE(INDIRECT(ADDRESS(ROW($O61)-RSI_Periods +1, MATCH("Downmove", Price_Header,0))): INDIRECT(ADDRESS(ROW($O61),MATCH("Downmove", Price_Header,0)))))</f>
        <v>2.7271428571428538</v>
      </c>
      <c r="R61" s="46">
        <f ca="1">IF(tbl_FDX[[#This Row],[Avg_Upmove]]="", "", tbl_FDX[[#This Row],[Avg_Upmove]]/tbl_FDX[[#This Row],[Avg_Downmove]])</f>
        <v>0.71005762179151366</v>
      </c>
      <c r="S61" s="10">
        <f ca="1">IF(ROW($N61)-4&lt;BB_Periods, "", _xlfn.STDEV.S(INDIRECT(ADDRESS(ROW($F61)-RSI_Periods +1, MATCH("Adj Close", Price_Header,0))): INDIRECT(ADDRESS(ROW($F61),MATCH("Adj Close", Price_Header,0)))))</f>
        <v>7.0067744691504368</v>
      </c>
    </row>
    <row r="62" spans="1:19" x14ac:dyDescent="0.35">
      <c r="A62" s="8">
        <v>44133</v>
      </c>
      <c r="B62" s="10">
        <v>260.20999999999998</v>
      </c>
      <c r="C62" s="10">
        <v>269.74</v>
      </c>
      <c r="D62" s="10">
        <v>260.06</v>
      </c>
      <c r="E62" s="10">
        <v>267.02</v>
      </c>
      <c r="F62" s="10">
        <v>267.02</v>
      </c>
      <c r="G62">
        <v>2680700</v>
      </c>
      <c r="H62" s="10">
        <f>IF(tbl_FDX[[#This Row],[Date]]=$A$5, $F62, EMA_Beta*$H61 + (1-EMA_Beta)*$F62)</f>
        <v>270.23537051440701</v>
      </c>
      <c r="I62" s="46">
        <f ca="1">IF(tbl_FDX[[#This Row],[RS]]= "", "", 100-(100/(1+tbl_FDX[[#This Row],[RS]])))</f>
        <v>46.846721425588171</v>
      </c>
      <c r="J62" s="10">
        <f ca="1">IF(ROW($N62)-4&lt;BB_Periods, "", AVERAGE(INDIRECT(ADDRESS(ROW($F62)-RSI_Periods +1, MATCH("Adj Close", Price_Header,0))): INDIRECT(ADDRESS(ROW($F62),MATCH("Adj Close", Price_Header,0)))))</f>
        <v>277.01142857142855</v>
      </c>
      <c r="K62" s="10">
        <f ca="1">IF(tbl_FDX[[#This Row],[BB_Mean]]="", "", tbl_FDX[[#This Row],[BB_Mean]]+(BB_Width*tbl_FDX[[#This Row],[BB_Stdev]]))</f>
        <v>291.78875810459755</v>
      </c>
      <c r="L62" s="127">
        <f ca="1">IF(tbl_FDX[[#This Row],[BB_Mean]]="", "", tbl_FDX[[#This Row],[BB_Mean]]-(BB_Width*tbl_FDX[[#This Row],[BB_Stdev]]))</f>
        <v>262.23409903825956</v>
      </c>
      <c r="M62" s="46">
        <f>IF(ROW(tbl_FDX[[#This Row],[Adj Close]])=5, 0, $F62-$F61)</f>
        <v>7.0299999999999727</v>
      </c>
      <c r="N62" s="46">
        <f>MAX(tbl_FDX[[#This Row],[Move]],0)</f>
        <v>7.0299999999999727</v>
      </c>
      <c r="O62" s="46">
        <f>MAX(-tbl_FDX[[#This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2.4035714285714227</v>
      </c>
      <c r="Q62" s="46">
        <f ca="1">IF(ROW($O62)-5&lt;RSI_Periods, "", AVERAGE(INDIRECT(ADDRESS(ROW($O62)-RSI_Periods +1, MATCH("Downmove", Price_Header,0))): INDIRECT(ADDRESS(ROW($O62),MATCH("Downmove", Price_Header,0)))))</f>
        <v>2.7271428571428538</v>
      </c>
      <c r="R62" s="46">
        <f ca="1">IF(tbl_FDX[[#This Row],[Avg_Upmove]]="", "", tbl_FDX[[#This Row],[Avg_Upmove]]/tbl_FDX[[#This Row],[Avg_Downmove]])</f>
        <v>0.88135149292823367</v>
      </c>
      <c r="S62" s="10">
        <f ca="1">IF(ROW($N62)-4&lt;BB_Periods, "", _xlfn.STDEV.S(INDIRECT(ADDRESS(ROW($F62)-RSI_Periods +1, MATCH("Adj Close", Price_Header,0))): INDIRECT(ADDRESS(ROW($F62),MATCH("Adj Close", Price_Header,0)))))</f>
        <v>7.3886647665844878</v>
      </c>
    </row>
    <row r="63" spans="1:19" x14ac:dyDescent="0.35">
      <c r="A63" s="8">
        <v>44134</v>
      </c>
      <c r="B63" s="10">
        <v>264.60000000000002</v>
      </c>
      <c r="C63" s="10">
        <v>265.99</v>
      </c>
      <c r="D63" s="10">
        <v>255.56</v>
      </c>
      <c r="E63" s="10">
        <v>259.47000000000003</v>
      </c>
      <c r="F63" s="10">
        <v>259.47000000000003</v>
      </c>
      <c r="G63">
        <v>2706900</v>
      </c>
      <c r="H63" s="10">
        <f>IF(tbl_FDX[[#This Row],[Date]]=$A$5, $F63, EMA_Beta*$H62 + (1-EMA_Beta)*$F63)</f>
        <v>269.1588334629663</v>
      </c>
      <c r="I63" s="46">
        <f ca="1">IF(tbl_FDX[[#This Row],[RS]]= "", "", 100-(100/(1+tbl_FDX[[#This Row],[RS]])))</f>
        <v>40.940204055275728</v>
      </c>
      <c r="J63" s="10">
        <f ca="1">IF(ROW($N63)-4&lt;BB_Periods, "", AVERAGE(INDIRECT(ADDRESS(ROW($F63)-RSI_Periods +1, MATCH("Adj Close", Price_Header,0))): INDIRECT(ADDRESS(ROW($F63),MATCH("Adj Close", Price_Header,0)))))</f>
        <v>276.00928571428568</v>
      </c>
      <c r="K63" s="10">
        <f ca="1">IF(tbl_FDX[[#This Row],[BB_Mean]]="", "", tbl_FDX[[#This Row],[BB_Mean]]+(BB_Width*tbl_FDX[[#This Row],[BB_Stdev]]))</f>
        <v>293.47144077431932</v>
      </c>
      <c r="L63" s="127">
        <f ca="1">IF(tbl_FDX[[#This Row],[BB_Mean]]="", "", tbl_FDX[[#This Row],[BB_Mean]]-(BB_Width*tbl_FDX[[#This Row],[BB_Stdev]]))</f>
        <v>258.54713065425204</v>
      </c>
      <c r="M63" s="46">
        <f>IF(ROW(tbl_FDX[[#This Row],[Adj Close]])=5, 0, $F63-$F62)</f>
        <v>-7.5499999999999545</v>
      </c>
      <c r="N63" s="46">
        <f>MAX(tbl_FDX[[#This Row],[Move]],0)</f>
        <v>0</v>
      </c>
      <c r="O63" s="46">
        <f>MAX(-tbl_FDX[[#This Row],[Move]],0)</f>
        <v>7.5499999999999545</v>
      </c>
      <c r="P63" s="46">
        <f ca="1">IF(ROW($N63)-5&lt;RSI_Periods, "", AVERAGE(INDIRECT(ADDRESS(ROW($N63)-RSI_Periods +1, MATCH("Upmove", Price_Header,0))): INDIRECT(ADDRESS(ROW($N63),MATCH("Upmove", Price_Header,0)))))</f>
        <v>2.2642857142857093</v>
      </c>
      <c r="Q63" s="46">
        <f ca="1">IF(ROW($O63)-5&lt;RSI_Periods, "", AVERAGE(INDIRECT(ADDRESS(ROW($O63)-RSI_Periods +1, MATCH("Downmove", Price_Header,0))): INDIRECT(ADDRESS(ROW($O63),MATCH("Downmove", Price_Header,0)))))</f>
        <v>3.2664285714285648</v>
      </c>
      <c r="R63" s="46">
        <f ca="1">IF(tbl_FDX[[#This Row],[Avg_Upmove]]="", "", tbl_FDX[[#This Row],[Avg_Upmove]]/tbl_FDX[[#This Row],[Avg_Downmove]])</f>
        <v>0.69319921277061003</v>
      </c>
      <c r="S63" s="10">
        <f ca="1">IF(ROW($N63)-4&lt;BB_Periods, "", _xlfn.STDEV.S(INDIRECT(ADDRESS(ROW($F63)-RSI_Periods +1, MATCH("Adj Close", Price_Header,0))): INDIRECT(ADDRESS(ROW($F63),MATCH("Adj Close", Price_Header,0)))))</f>
        <v>8.7310775300168277</v>
      </c>
    </row>
    <row r="64" spans="1:19" x14ac:dyDescent="0.35">
      <c r="A64" s="8">
        <v>44137</v>
      </c>
      <c r="B64" s="10">
        <v>262.7</v>
      </c>
      <c r="C64" s="10">
        <v>267.49</v>
      </c>
      <c r="D64" s="10">
        <v>259.01</v>
      </c>
      <c r="E64" s="10">
        <v>266.98</v>
      </c>
      <c r="F64" s="10">
        <v>266.98</v>
      </c>
      <c r="G64">
        <v>2042900</v>
      </c>
      <c r="H64" s="10">
        <f>IF(tbl_FDX[[#This Row],[Date]]=$A$5, $F64, EMA_Beta*$H63 + (1-EMA_Beta)*$F64)</f>
        <v>268.94095011666968</v>
      </c>
      <c r="I64" s="46">
        <f ca="1">IF(tbl_FDX[[#This Row],[RS]]= "", "", 100-(100/(1+tbl_FDX[[#This Row],[RS]])))</f>
        <v>46.857074569789681</v>
      </c>
      <c r="J64" s="10">
        <f ca="1">IF(ROW($N64)-4&lt;BB_Periods, "", AVERAGE(INDIRECT(ADDRESS(ROW($F64)-RSI_Periods +1, MATCH("Adj Close", Price_Header,0))): INDIRECT(ADDRESS(ROW($F64),MATCH("Adj Close", Price_Header,0)))))</f>
        <v>275.63357142857137</v>
      </c>
      <c r="K64" s="10">
        <f ca="1">IF(tbl_FDX[[#This Row],[BB_Mean]]="", "", tbl_FDX[[#This Row],[BB_Mean]]+(BB_Width*tbl_FDX[[#This Row],[BB_Stdev]]))</f>
        <v>293.66223682077873</v>
      </c>
      <c r="L64" s="127">
        <f ca="1">IF(tbl_FDX[[#This Row],[BB_Mean]]="", "", tbl_FDX[[#This Row],[BB_Mean]]-(BB_Width*tbl_FDX[[#This Row],[BB_Stdev]]))</f>
        <v>257.60490603636401</v>
      </c>
      <c r="M64" s="46">
        <f>IF(ROW(tbl_FDX[[#This Row],[Adj Close]])=5, 0, $F64-$F63)</f>
        <v>7.5099999999999909</v>
      </c>
      <c r="N64" s="46">
        <f>MAX(tbl_FDX[[#This Row],[Move]],0)</f>
        <v>7.5099999999999909</v>
      </c>
      <c r="O64" s="46">
        <f>MAX(-tbl_FDX[[#This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2.8007142857142804</v>
      </c>
      <c r="Q64" s="46">
        <f ca="1">IF(ROW($O64)-5&lt;RSI_Periods, "", AVERAGE(INDIRECT(ADDRESS(ROW($O64)-RSI_Periods +1, MATCH("Downmove", Price_Header,0))): INDIRECT(ADDRESS(ROW($O64),MATCH("Downmove", Price_Header,0)))))</f>
        <v>3.1764285714285654</v>
      </c>
      <c r="R64" s="46">
        <f ca="1">IF(tbl_FDX[[#This Row],[Avg_Upmove]]="", "", tbl_FDX[[#This Row],[Avg_Upmove]]/tbl_FDX[[#This Row],[Avg_Downmove]])</f>
        <v>0.88171801214301782</v>
      </c>
      <c r="S64" s="10">
        <f ca="1">IF(ROW($N64)-4&lt;BB_Periods, "", _xlfn.STDEV.S(INDIRECT(ADDRESS(ROW($F64)-RSI_Periods +1, MATCH("Adj Close", Price_Header,0))): INDIRECT(ADDRESS(ROW($F64),MATCH("Adj Close", Price_Header,0)))))</f>
        <v>9.0143326961036792</v>
      </c>
    </row>
    <row r="65" spans="1:19" x14ac:dyDescent="0.35">
      <c r="A65" s="8">
        <v>44138</v>
      </c>
      <c r="B65" s="10">
        <v>271.95</v>
      </c>
      <c r="C65" s="10">
        <v>276.92</v>
      </c>
      <c r="D65" s="10">
        <v>268.12</v>
      </c>
      <c r="E65" s="10">
        <v>274.48</v>
      </c>
      <c r="F65" s="10">
        <v>274.48</v>
      </c>
      <c r="G65">
        <v>2630800</v>
      </c>
      <c r="H65" s="10">
        <f>IF(tbl_FDX[[#This Row],[Date]]=$A$5, $F65, EMA_Beta*$H64 + (1-EMA_Beta)*$F65)</f>
        <v>269.49485510500273</v>
      </c>
      <c r="I65" s="46">
        <f ca="1">IF(tbl_FDX[[#This Row],[RS]]= "", "", 100-(100/(1+tbl_FDX[[#This Row],[RS]])))</f>
        <v>48.990594172975463</v>
      </c>
      <c r="J65" s="10">
        <f ca="1">IF(ROW($N65)-4&lt;BB_Periods, "", AVERAGE(INDIRECT(ADDRESS(ROW($F65)-RSI_Periods +1, MATCH("Adj Close", Price_Header,0))): INDIRECT(ADDRESS(ROW($F65),MATCH("Adj Close", Price_Header,0)))))</f>
        <v>275.50785714285712</v>
      </c>
      <c r="K65" s="10">
        <f ca="1">IF(tbl_FDX[[#This Row],[BB_Mean]]="", "", tbl_FDX[[#This Row],[BB_Mean]]+(BB_Width*tbl_FDX[[#This Row],[BB_Stdev]]))</f>
        <v>293.54285078312199</v>
      </c>
      <c r="L65" s="127">
        <f ca="1">IF(tbl_FDX[[#This Row],[BB_Mean]]="", "", tbl_FDX[[#This Row],[BB_Mean]]-(BB_Width*tbl_FDX[[#This Row],[BB_Stdev]]))</f>
        <v>257.47286350259225</v>
      </c>
      <c r="M65" s="46">
        <f>IF(ROW(tbl_FDX[[#This Row],[Adj Close]])=5, 0, $F65-$F64)</f>
        <v>7.5</v>
      </c>
      <c r="N65" s="46">
        <f>MAX(tbl_FDX[[#This Row],[Move]],0)</f>
        <v>7.5</v>
      </c>
      <c r="O65" s="46">
        <f>MAX(-tbl_FDX[[#This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3.0507142857142804</v>
      </c>
      <c r="Q65" s="46">
        <f ca="1">IF(ROW($O65)-5&lt;RSI_Periods, "", AVERAGE(INDIRECT(ADDRESS(ROW($O65)-RSI_Periods +1, MATCH("Downmove", Price_Header,0))): INDIRECT(ADDRESS(ROW($O65),MATCH("Downmove", Price_Header,0)))))</f>
        <v>3.1764285714285654</v>
      </c>
      <c r="R65" s="46">
        <f ca="1">IF(tbl_FDX[[#This Row],[Avg_Upmove]]="", "", tbl_FDX[[#This Row],[Avg_Upmove]]/tbl_FDX[[#This Row],[Avg_Downmove]])</f>
        <v>0.96042275691477419</v>
      </c>
      <c r="S65" s="10">
        <f ca="1">IF(ROW($N65)-4&lt;BB_Periods, "", _xlfn.STDEV.S(INDIRECT(ADDRESS(ROW($F65)-RSI_Periods +1, MATCH("Adj Close", Price_Header,0))): INDIRECT(ADDRESS(ROW($F65),MATCH("Adj Close", Price_Header,0)))))</f>
        <v>9.0174968201324468</v>
      </c>
    </row>
    <row r="66" spans="1:19" x14ac:dyDescent="0.35">
      <c r="A66" s="8">
        <v>44139</v>
      </c>
      <c r="B66" s="10">
        <v>276.70999999999998</v>
      </c>
      <c r="C66" s="10">
        <v>278.8</v>
      </c>
      <c r="D66" s="10">
        <v>268.52999999999997</v>
      </c>
      <c r="E66" s="10">
        <v>269.10000000000002</v>
      </c>
      <c r="F66" s="10">
        <v>269.10000000000002</v>
      </c>
      <c r="G66">
        <v>2810600</v>
      </c>
      <c r="H66" s="10">
        <f>IF(tbl_FDX[[#This Row],[Date]]=$A$5, $F66, EMA_Beta*$H65 + (1-EMA_Beta)*$F66)</f>
        <v>269.45536959450249</v>
      </c>
      <c r="I66" s="46">
        <f ca="1">IF(tbl_FDX[[#This Row],[RS]]= "", "", 100-(100/(1+tbl_FDX[[#This Row],[RS]])))</f>
        <v>42.496251009343631</v>
      </c>
      <c r="J66" s="10">
        <f ca="1">IF(ROW($N66)-4&lt;BB_Periods, "", AVERAGE(INDIRECT(ADDRESS(ROW($F66)-RSI_Periods +1, MATCH("Adj Close", Price_Header,0))): INDIRECT(ADDRESS(ROW($F66),MATCH("Adj Close", Price_Header,0)))))</f>
        <v>274.57857142857142</v>
      </c>
      <c r="K66" s="10">
        <f ca="1">IF(tbl_FDX[[#This Row],[BB_Mean]]="", "", tbl_FDX[[#This Row],[BB_Mean]]+(BB_Width*tbl_FDX[[#This Row],[BB_Stdev]]))</f>
        <v>292.48843610553791</v>
      </c>
      <c r="L66" s="127">
        <f ca="1">IF(tbl_FDX[[#This Row],[BB_Mean]]="", "", tbl_FDX[[#This Row],[BB_Mean]]-(BB_Width*tbl_FDX[[#This Row],[BB_Stdev]]))</f>
        <v>256.66870675160493</v>
      </c>
      <c r="M66" s="46">
        <f>IF(ROW(tbl_FDX[[#This Row],[Adj Close]])=5, 0, $F66-$F65)</f>
        <v>-5.3799999999999955</v>
      </c>
      <c r="N66" s="46">
        <f>MAX(tbl_FDX[[#This Row],[Move]],0)</f>
        <v>0</v>
      </c>
      <c r="O66" s="46">
        <f>MAX(-tbl_FDX[[#This Row],[Move]],0)</f>
        <v>5.3799999999999955</v>
      </c>
      <c r="P66" s="46">
        <f ca="1">IF(ROW($N66)-5&lt;RSI_Periods, "", AVERAGE(INDIRECT(ADDRESS(ROW($N66)-RSI_Periods +1, MATCH("Upmove", Price_Header,0))): INDIRECT(ADDRESS(ROW($N66),MATCH("Upmove", Price_Header,0)))))</f>
        <v>2.6314285714285655</v>
      </c>
      <c r="Q66" s="46">
        <f ca="1">IF(ROW($O66)-5&lt;RSI_Periods, "", AVERAGE(INDIRECT(ADDRESS(ROW($O66)-RSI_Periods +1, MATCH("Downmove", Price_Header,0))): INDIRECT(ADDRESS(ROW($O66),MATCH("Downmove", Price_Header,0)))))</f>
        <v>3.5607142857142793</v>
      </c>
      <c r="R66" s="46">
        <f ca="1">IF(tbl_FDX[[#This Row],[Avg_Upmove]]="", "", tbl_FDX[[#This Row],[Avg_Upmove]]/tbl_FDX[[#This Row],[Avg_Downmove]])</f>
        <v>0.73901705115346006</v>
      </c>
      <c r="S66" s="10">
        <f ca="1">IF(ROW($N66)-4&lt;BB_Periods, "", _xlfn.STDEV.S(INDIRECT(ADDRESS(ROW($F66)-RSI_Periods +1, MATCH("Adj Close", Price_Header,0))): INDIRECT(ADDRESS(ROW($F66),MATCH("Adj Close", Price_Header,0)))))</f>
        <v>8.954932338483248</v>
      </c>
    </row>
    <row r="67" spans="1:19" x14ac:dyDescent="0.35">
      <c r="A67" s="8">
        <v>44140</v>
      </c>
      <c r="B67" s="10">
        <v>273</v>
      </c>
      <c r="C67" s="10">
        <v>282.27</v>
      </c>
      <c r="D67" s="10">
        <v>273</v>
      </c>
      <c r="E67" s="10">
        <v>279.07</v>
      </c>
      <c r="F67" s="10">
        <v>279.07</v>
      </c>
      <c r="G67">
        <v>2234600</v>
      </c>
      <c r="H67" s="10">
        <f>IF(tbl_FDX[[#This Row],[Date]]=$A$5, $F67, EMA_Beta*$H66 + (1-EMA_Beta)*$F67)</f>
        <v>270.41683263505223</v>
      </c>
      <c r="I67" s="46">
        <f ca="1">IF(tbl_FDX[[#This Row],[RS]]= "", "", 100-(100/(1+tbl_FDX[[#This Row],[RS]])))</f>
        <v>47.471022128556363</v>
      </c>
      <c r="J67" s="10">
        <f ca="1">IF(ROW($N67)-4&lt;BB_Periods, "", AVERAGE(INDIRECT(ADDRESS(ROW($F67)-RSI_Periods +1, MATCH("Adj Close", Price_Header,0))): INDIRECT(ADDRESS(ROW($F67),MATCH("Adj Close", Price_Header,0)))))</f>
        <v>274.23571428571432</v>
      </c>
      <c r="K67" s="10">
        <f ca="1">IF(tbl_FDX[[#This Row],[BB_Mean]]="", "", tbl_FDX[[#This Row],[BB_Mean]]+(BB_Width*tbl_FDX[[#This Row],[BB_Stdev]]))</f>
        <v>291.55335440614238</v>
      </c>
      <c r="L67" s="127">
        <f ca="1">IF(tbl_FDX[[#This Row],[BB_Mean]]="", "", tbl_FDX[[#This Row],[BB_Mean]]-(BB_Width*tbl_FDX[[#This Row],[BB_Stdev]]))</f>
        <v>256.91807416528627</v>
      </c>
      <c r="M67" s="46">
        <f>IF(ROW(tbl_FDX[[#This Row],[Adj Close]])=5, 0, $F67-$F66)</f>
        <v>9.9699999999999704</v>
      </c>
      <c r="N67" s="46">
        <f>MAX(tbl_FDX[[#This Row],[Move]],0)</f>
        <v>9.9699999999999704</v>
      </c>
      <c r="O67" s="46">
        <f>MAX(-tbl_FDX[[#This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3.2178571428571354</v>
      </c>
      <c r="Q67" s="46">
        <f ca="1">IF(ROW($O67)-5&lt;RSI_Periods, "", AVERAGE(INDIRECT(ADDRESS(ROW($O67)-RSI_Periods +1, MATCH("Downmove", Price_Header,0))): INDIRECT(ADDRESS(ROW($O67),MATCH("Downmove", Price_Header,0)))))</f>
        <v>3.5607142857142793</v>
      </c>
      <c r="R67" s="46">
        <f ca="1">IF(tbl_FDX[[#This Row],[Avg_Upmove]]="", "", tbl_FDX[[#This Row],[Avg_Upmove]]/tbl_FDX[[#This Row],[Avg_Downmove]])</f>
        <v>0.90371113340020015</v>
      </c>
      <c r="S67" s="10">
        <f ca="1">IF(ROW($N67)-4&lt;BB_Periods, "", _xlfn.STDEV.S(INDIRECT(ADDRESS(ROW($F67)-RSI_Periods +1, MATCH("Adj Close", Price_Header,0))): INDIRECT(ADDRESS(ROW($F67),MATCH("Adj Close", Price_Header,0)))))</f>
        <v>8.6588200602140173</v>
      </c>
    </row>
    <row r="68" spans="1:19" x14ac:dyDescent="0.35">
      <c r="A68" s="8">
        <v>44141</v>
      </c>
      <c r="B68" s="10">
        <v>278.52</v>
      </c>
      <c r="C68" s="10">
        <v>284.3</v>
      </c>
      <c r="D68" s="10">
        <v>277.12</v>
      </c>
      <c r="E68" s="10">
        <v>279.77</v>
      </c>
      <c r="F68" s="10">
        <v>279.77</v>
      </c>
      <c r="G68">
        <v>1894800</v>
      </c>
      <c r="H68" s="10">
        <f>IF(tbl_FDX[[#This Row],[Date]]=$A$5, $F68, EMA_Beta*$H67 + (1-EMA_Beta)*$F68)</f>
        <v>271.352149371547</v>
      </c>
      <c r="I68" s="46">
        <f ca="1">IF(tbl_FDX[[#This Row],[RS]]= "", "", 100-(100/(1+tbl_FDX[[#This Row],[RS]])))</f>
        <v>48.826040554962624</v>
      </c>
      <c r="J68" s="10">
        <f ca="1">IF(ROW($N68)-4&lt;BB_Periods, "", AVERAGE(INDIRECT(ADDRESS(ROW($F68)-RSI_Periods +1, MATCH("Adj Close", Price_Header,0))): INDIRECT(ADDRESS(ROW($F68),MATCH("Adj Close", Price_Header,0)))))</f>
        <v>274.07857142857142</v>
      </c>
      <c r="K68" s="10">
        <f ca="1">IF(tbl_FDX[[#This Row],[BB_Mean]]="", "", tbl_FDX[[#This Row],[BB_Mean]]+(BB_Width*tbl_FDX[[#This Row],[BB_Stdev]]))</f>
        <v>291.13179644662836</v>
      </c>
      <c r="L68" s="127">
        <f ca="1">IF(tbl_FDX[[#This Row],[BB_Mean]]="", "", tbl_FDX[[#This Row],[BB_Mean]]-(BB_Width*tbl_FDX[[#This Row],[BB_Stdev]]))</f>
        <v>257.02534641051449</v>
      </c>
      <c r="M68" s="46">
        <f>IF(ROW(tbl_FDX[[#This Row],[Adj Close]])=5, 0, $F68-$F67)</f>
        <v>0.69999999999998863</v>
      </c>
      <c r="N68" s="46">
        <f>MAX(tbl_FDX[[#This Row],[Move]],0)</f>
        <v>0.69999999999998863</v>
      </c>
      <c r="O68" s="46">
        <f>MAX(-tbl_FDX[[#This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3.2678571428571348</v>
      </c>
      <c r="Q68" s="46">
        <f ca="1">IF(ROW($O68)-5&lt;RSI_Periods, "", AVERAGE(INDIRECT(ADDRESS(ROW($O68)-RSI_Periods +1, MATCH("Downmove", Price_Header,0))): INDIRECT(ADDRESS(ROW($O68),MATCH("Downmove", Price_Header,0)))))</f>
        <v>3.4249999999999949</v>
      </c>
      <c r="R68" s="46">
        <f ca="1">IF(tbl_FDX[[#This Row],[Avg_Upmove]]="", "", tbl_FDX[[#This Row],[Avg_Upmove]]/tbl_FDX[[#This Row],[Avg_Downmove]])</f>
        <v>0.95411887382690208</v>
      </c>
      <c r="S68" s="10">
        <f ca="1">IF(ROW($N68)-4&lt;BB_Periods, "", _xlfn.STDEV.S(INDIRECT(ADDRESS(ROW($F68)-RSI_Periods +1, MATCH("Adj Close", Price_Header,0))): INDIRECT(ADDRESS(ROW($F68),MATCH("Adj Close", Price_Header,0)))))</f>
        <v>8.5266125090284639</v>
      </c>
    </row>
    <row r="69" spans="1:19" x14ac:dyDescent="0.35">
      <c r="A69" s="8">
        <v>44144</v>
      </c>
      <c r="B69" s="10">
        <v>274.24</v>
      </c>
      <c r="C69" s="10">
        <v>274.5</v>
      </c>
      <c r="D69" s="10">
        <v>256.35000000000002</v>
      </c>
      <c r="E69" s="10">
        <v>263.88</v>
      </c>
      <c r="F69" s="10">
        <v>263.88</v>
      </c>
      <c r="G69">
        <v>5907200</v>
      </c>
      <c r="H69" s="10">
        <f>IF(tbl_FDX[[#This Row],[Date]]=$A$5, $F69, EMA_Beta*$H68 + (1-EMA_Beta)*$F69)</f>
        <v>270.60493443439231</v>
      </c>
      <c r="I69" s="46">
        <f ca="1">IF(tbl_FDX[[#This Row],[RS]]= "", "", 100-(100/(1+tbl_FDX[[#This Row],[RS]])))</f>
        <v>38.709677419354826</v>
      </c>
      <c r="J69" s="10">
        <f ca="1">IF(ROW($N69)-4&lt;BB_Periods, "", AVERAGE(INDIRECT(ADDRESS(ROW($F69)-RSI_Periods +1, MATCH("Adj Close", Price_Header,0))): INDIRECT(ADDRESS(ROW($F69),MATCH("Adj Close", Price_Header,0)))))</f>
        <v>272.39857142857147</v>
      </c>
      <c r="K69" s="10">
        <f ca="1">IF(tbl_FDX[[#This Row],[BB_Mean]]="", "", tbl_FDX[[#This Row],[BB_Mean]]+(BB_Width*tbl_FDX[[#This Row],[BB_Stdev]]))</f>
        <v>288.40027683218938</v>
      </c>
      <c r="L69" s="127">
        <f ca="1">IF(tbl_FDX[[#This Row],[BB_Mean]]="", "", tbl_FDX[[#This Row],[BB_Mean]]-(BB_Width*tbl_FDX[[#This Row],[BB_Stdev]]))</f>
        <v>256.39686602495357</v>
      </c>
      <c r="M69" s="46">
        <f>IF(ROW(tbl_FDX[[#This Row],[Adj Close]])=5, 0, $F69-$F68)</f>
        <v>-15.889999999999986</v>
      </c>
      <c r="N69" s="46">
        <f>MAX(tbl_FDX[[#This Row],[Move]],0)</f>
        <v>0</v>
      </c>
      <c r="O69" s="46">
        <f>MAX(-tbl_FDX[[#This Row],[Move]],0)</f>
        <v>15.889999999999986</v>
      </c>
      <c r="P69" s="46">
        <f ca="1">IF(ROW($N69)-5&lt;RSI_Periods, "", AVERAGE(INDIRECT(ADDRESS(ROW($N69)-RSI_Periods +1, MATCH("Upmove", Price_Header,0))): INDIRECT(ADDRESS(ROW($N69),MATCH("Upmove", Price_Header,0)))))</f>
        <v>2.8799999999999955</v>
      </c>
      <c r="Q69" s="46">
        <f ca="1">IF(ROW($O69)-5&lt;RSI_Periods, "", AVERAGE(INDIRECT(ADDRESS(ROW($O69)-RSI_Periods +1, MATCH("Downmove", Price_Header,0))): INDIRECT(ADDRESS(ROW($O69),MATCH("Downmove", Price_Header,0)))))</f>
        <v>4.5599999999999943</v>
      </c>
      <c r="R69" s="46">
        <f ca="1">IF(tbl_FDX[[#This Row],[Avg_Upmove]]="", "", tbl_FDX[[#This Row],[Avg_Upmove]]/tbl_FDX[[#This Row],[Avg_Downmove]])</f>
        <v>0.6315789473684208</v>
      </c>
      <c r="S69" s="10">
        <f ca="1">IF(ROW($N69)-4&lt;BB_Periods, "", _xlfn.STDEV.S(INDIRECT(ADDRESS(ROW($F69)-RSI_Periods +1, MATCH("Adj Close", Price_Header,0))): INDIRECT(ADDRESS(ROW($F69),MATCH("Adj Close", Price_Header,0)))))</f>
        <v>8.0008527018089648</v>
      </c>
    </row>
    <row r="70" spans="1:19" x14ac:dyDescent="0.35">
      <c r="A70" s="8">
        <v>44145</v>
      </c>
      <c r="B70" s="10">
        <v>264.38</v>
      </c>
      <c r="C70" s="10">
        <v>268.77</v>
      </c>
      <c r="D70" s="10">
        <v>258</v>
      </c>
      <c r="E70" s="10">
        <v>267.27</v>
      </c>
      <c r="F70" s="10">
        <v>267.27</v>
      </c>
      <c r="G70">
        <v>2874000</v>
      </c>
      <c r="H70" s="10">
        <f>IF(tbl_FDX[[#This Row],[Date]]=$A$5, $F70, EMA_Beta*$H69 + (1-EMA_Beta)*$F70)</f>
        <v>270.27144099095307</v>
      </c>
      <c r="I70" s="46">
        <f ca="1">IF(tbl_FDX[[#This Row],[RS]]= "", "", 100-(100/(1+tbl_FDX[[#This Row],[RS]])))</f>
        <v>42.673045006345788</v>
      </c>
      <c r="J70" s="10">
        <f ca="1">IF(ROW($N70)-4&lt;BB_Periods, "", AVERAGE(INDIRECT(ADDRESS(ROW($F70)-RSI_Periods +1, MATCH("Adj Close", Price_Header,0))): INDIRECT(ADDRESS(ROW($F70),MATCH("Adj Close", Price_Header,0)))))</f>
        <v>271.32642857142861</v>
      </c>
      <c r="K70" s="10">
        <f ca="1">IF(tbl_FDX[[#This Row],[BB_Mean]]="", "", tbl_FDX[[#This Row],[BB_Mean]]+(BB_Width*tbl_FDX[[#This Row],[BB_Stdev]]))</f>
        <v>286.46419714419511</v>
      </c>
      <c r="L70" s="127">
        <f ca="1">IF(tbl_FDX[[#This Row],[BB_Mean]]="", "", tbl_FDX[[#This Row],[BB_Mean]]-(BB_Width*tbl_FDX[[#This Row],[BB_Stdev]]))</f>
        <v>256.1886599986621</v>
      </c>
      <c r="M70" s="46">
        <f>IF(ROW(tbl_FDX[[#This Row],[Adj Close]])=5, 0, $F70-$F69)</f>
        <v>3.3899999999999864</v>
      </c>
      <c r="N70" s="46">
        <f>MAX(tbl_FDX[[#This Row],[Move]],0)</f>
        <v>3.3899999999999864</v>
      </c>
      <c r="O70" s="46">
        <f>MAX(-tbl_FDX[[#This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3.1221428571428516</v>
      </c>
      <c r="Q70" s="46">
        <f ca="1">IF(ROW($O70)-5&lt;RSI_Periods, "", AVERAGE(INDIRECT(ADDRESS(ROW($O70)-RSI_Periods +1, MATCH("Downmove", Price_Header,0))): INDIRECT(ADDRESS(ROW($O70),MATCH("Downmove", Price_Header,0)))))</f>
        <v>4.1942857142857077</v>
      </c>
      <c r="R70" s="46">
        <f ca="1">IF(tbl_FDX[[#This Row],[Avg_Upmove]]="", "", tbl_FDX[[#This Row],[Avg_Upmove]]/tbl_FDX[[#This Row],[Avg_Downmove]])</f>
        <v>0.7443801089918255</v>
      </c>
      <c r="S70" s="10">
        <f ca="1">IF(ROW($N70)-4&lt;BB_Periods, "", _xlfn.STDEV.S(INDIRECT(ADDRESS(ROW($F70)-RSI_Periods +1, MATCH("Adj Close", Price_Header,0))): INDIRECT(ADDRESS(ROW($F70),MATCH("Adj Close", Price_Header,0)))))</f>
        <v>7.5688842863832502</v>
      </c>
    </row>
    <row r="71" spans="1:19" x14ac:dyDescent="0.35">
      <c r="A71" s="8">
        <v>44146</v>
      </c>
      <c r="B71" s="10">
        <v>271.17</v>
      </c>
      <c r="C71" s="10">
        <v>271.31</v>
      </c>
      <c r="D71" s="10">
        <v>266</v>
      </c>
      <c r="E71" s="10">
        <v>267.81</v>
      </c>
      <c r="F71" s="10">
        <v>267.81</v>
      </c>
      <c r="G71">
        <v>1937700</v>
      </c>
      <c r="H71" s="10">
        <f>IF(tbl_FDX[[#This Row],[Date]]=$A$5, $F71, EMA_Beta*$H70 + (1-EMA_Beta)*$F71)</f>
        <v>270.02529689185775</v>
      </c>
      <c r="I71" s="46">
        <f ca="1">IF(tbl_FDX[[#This Row],[RS]]= "", "", 100-(100/(1+tbl_FDX[[#This Row],[RS]])))</f>
        <v>45.788493377483441</v>
      </c>
      <c r="J71" s="10">
        <f ca="1">IF(ROW($N71)-4&lt;BB_Periods, "", AVERAGE(INDIRECT(ADDRESS(ROW($F71)-RSI_Periods +1, MATCH("Adj Close", Price_Header,0))): INDIRECT(ADDRESS(ROW($F71),MATCH("Adj Close", Price_Header,0)))))</f>
        <v>270.745</v>
      </c>
      <c r="K71" s="10">
        <f ca="1">IF(tbl_FDX[[#This Row],[BB_Mean]]="", "", tbl_FDX[[#This Row],[BB_Mean]]+(BB_Width*tbl_FDX[[#This Row],[BB_Stdev]]))</f>
        <v>285.74242695880247</v>
      </c>
      <c r="L71" s="127">
        <f ca="1">IF(tbl_FDX[[#This Row],[BB_Mean]]="", "", tbl_FDX[[#This Row],[BB_Mean]]-(BB_Width*tbl_FDX[[#This Row],[BB_Stdev]]))</f>
        <v>255.74757304119754</v>
      </c>
      <c r="M71" s="46">
        <f>IF(ROW(tbl_FDX[[#This Row],[Adj Close]])=5, 0, $F71-$F70)</f>
        <v>0.54000000000002046</v>
      </c>
      <c r="N71" s="46">
        <f>MAX(tbl_FDX[[#This Row],[Move]],0)</f>
        <v>0.54000000000002046</v>
      </c>
      <c r="O71" s="46">
        <f>MAX(-tbl_FDX[[#This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3.1607142857142816</v>
      </c>
      <c r="Q71" s="46">
        <f ca="1">IF(ROW($O71)-5&lt;RSI_Periods, "", AVERAGE(INDIRECT(ADDRESS(ROW($O71)-RSI_Periods +1, MATCH("Downmove", Price_Header,0))): INDIRECT(ADDRESS(ROW($O71),MATCH("Downmove", Price_Header,0)))))</f>
        <v>3.7421428571428521</v>
      </c>
      <c r="R71" s="46">
        <f ca="1">IF(tbl_FDX[[#This Row],[Avg_Upmove]]="", "", tbl_FDX[[#This Row],[Avg_Upmove]]/tbl_FDX[[#This Row],[Avg_Downmove]])</f>
        <v>0.84462683718266851</v>
      </c>
      <c r="S71" s="10">
        <f ca="1">IF(ROW($N71)-4&lt;BB_Periods, "", _xlfn.STDEV.S(INDIRECT(ADDRESS(ROW($F71)-RSI_Periods +1, MATCH("Adj Close", Price_Header,0))): INDIRECT(ADDRESS(ROW($F71),MATCH("Adj Close", Price_Header,0)))))</f>
        <v>7.4987134794012364</v>
      </c>
    </row>
    <row r="72" spans="1:19" x14ac:dyDescent="0.35">
      <c r="A72" s="8">
        <v>44147</v>
      </c>
      <c r="B72" s="10">
        <v>269.23</v>
      </c>
      <c r="C72" s="10">
        <v>270.89</v>
      </c>
      <c r="D72" s="10">
        <v>263.99</v>
      </c>
      <c r="E72" s="10">
        <v>267.16000000000003</v>
      </c>
      <c r="F72" s="10">
        <v>267.16000000000003</v>
      </c>
      <c r="G72">
        <v>1924000</v>
      </c>
      <c r="H72" s="10">
        <f>IF(tbl_FDX[[#This Row],[Date]]=$A$5, $F72, EMA_Beta*$H71 + (1-EMA_Beta)*$F72)</f>
        <v>269.73876720267197</v>
      </c>
      <c r="I72" s="46">
        <f ca="1">IF(tbl_FDX[[#This Row],[RS]]= "", "", 100-(100/(1+tbl_FDX[[#This Row],[RS]])))</f>
        <v>40.856378233719887</v>
      </c>
      <c r="J72" s="10">
        <f ca="1">IF(ROW($N72)-4&lt;BB_Periods, "", AVERAGE(INDIRECT(ADDRESS(ROW($F72)-RSI_Periods +1, MATCH("Adj Close", Price_Header,0))): INDIRECT(ADDRESS(ROW($F72),MATCH("Adj Close", Price_Header,0)))))</f>
        <v>269.57357142857143</v>
      </c>
      <c r="K72" s="10">
        <f ca="1">IF(tbl_FDX[[#This Row],[BB_Mean]]="", "", tbl_FDX[[#This Row],[BB_Mean]]+(BB_Width*tbl_FDX[[#This Row],[BB_Stdev]]))</f>
        <v>282.70504532122362</v>
      </c>
      <c r="L72" s="127">
        <f ca="1">IF(tbl_FDX[[#This Row],[BB_Mean]]="", "", tbl_FDX[[#This Row],[BB_Mean]]-(BB_Width*tbl_FDX[[#This Row],[BB_Stdev]]))</f>
        <v>256.44209753591923</v>
      </c>
      <c r="M72" s="46">
        <f>IF(ROW(tbl_FDX[[#This Row],[Adj Close]])=5, 0, $F72-$F71)</f>
        <v>-0.64999999999997726</v>
      </c>
      <c r="N72" s="46">
        <f>MAX(tbl_FDX[[#This Row],[Move]],0)</f>
        <v>0</v>
      </c>
      <c r="O72" s="46">
        <f>MAX(-tbl_FDX[[#This Row],[Move]],0)</f>
        <v>0.64999999999997726</v>
      </c>
      <c r="P72" s="46">
        <f ca="1">IF(ROW($N72)-5&lt;RSI_Periods, "", AVERAGE(INDIRECT(ADDRESS(ROW($N72)-RSI_Periods +1, MATCH("Upmove", Price_Header,0))): INDIRECT(ADDRESS(ROW($N72),MATCH("Upmove", Price_Header,0)))))</f>
        <v>2.6171428571428521</v>
      </c>
      <c r="Q72" s="46">
        <f ca="1">IF(ROW($O72)-5&lt;RSI_Periods, "", AVERAGE(INDIRECT(ADDRESS(ROW($O72)-RSI_Periods +1, MATCH("Downmove", Price_Header,0))): INDIRECT(ADDRESS(ROW($O72),MATCH("Downmove", Price_Header,0)))))</f>
        <v>3.788571428571422</v>
      </c>
      <c r="R72" s="46">
        <f ca="1">IF(tbl_FDX[[#This Row],[Avg_Upmove]]="", "", tbl_FDX[[#This Row],[Avg_Upmove]]/tbl_FDX[[#This Row],[Avg_Downmove]])</f>
        <v>0.6907993966817495</v>
      </c>
      <c r="S72" s="10">
        <f ca="1">IF(ROW($N72)-4&lt;BB_Periods, "", _xlfn.STDEV.S(INDIRECT(ADDRESS(ROW($F72)-RSI_Periods +1, MATCH("Adj Close", Price_Header,0))): INDIRECT(ADDRESS(ROW($F72),MATCH("Adj Close", Price_Header,0)))))</f>
        <v>6.5657369463261013</v>
      </c>
    </row>
    <row r="73" spans="1:19" x14ac:dyDescent="0.35">
      <c r="A73" s="8">
        <v>44148</v>
      </c>
      <c r="B73" s="10">
        <v>267.99</v>
      </c>
      <c r="C73" s="10">
        <v>273.72000000000003</v>
      </c>
      <c r="D73" s="10">
        <v>267.99</v>
      </c>
      <c r="E73" s="10">
        <v>271.91000000000003</v>
      </c>
      <c r="F73" s="10">
        <v>271.91000000000003</v>
      </c>
      <c r="G73">
        <v>1593700</v>
      </c>
      <c r="H73" s="10">
        <f>IF(tbl_FDX[[#This Row],[Date]]=$A$5, $F73, EMA_Beta*$H72 + (1-EMA_Beta)*$F73)</f>
        <v>269.95589048240475</v>
      </c>
      <c r="I73" s="46">
        <f ca="1">IF(tbl_FDX[[#This Row],[RS]]= "", "", 100-(100/(1+tbl_FDX[[#This Row],[RS]])))</f>
        <v>46.773646739744613</v>
      </c>
      <c r="J73" s="10">
        <f ca="1">IF(ROW($N73)-4&lt;BB_Periods, "", AVERAGE(INDIRECT(ADDRESS(ROW($F73)-RSI_Periods +1, MATCH("Adj Close", Price_Header,0))): INDIRECT(ADDRESS(ROW($F73),MATCH("Adj Close", Price_Header,0)))))</f>
        <v>269.16571428571427</v>
      </c>
      <c r="K73" s="10">
        <f ca="1">IF(tbl_FDX[[#This Row],[BB_Mean]]="", "", tbl_FDX[[#This Row],[BB_Mean]]+(BB_Width*tbl_FDX[[#This Row],[BB_Stdev]]))</f>
        <v>281.55430386033299</v>
      </c>
      <c r="L73" s="127">
        <f ca="1">IF(tbl_FDX[[#This Row],[BB_Mean]]="", "", tbl_FDX[[#This Row],[BB_Mean]]-(BB_Width*tbl_FDX[[#This Row],[BB_Stdev]]))</f>
        <v>256.77712471109555</v>
      </c>
      <c r="M73" s="46">
        <f>IF(ROW(tbl_FDX[[#This Row],[Adj Close]])=5, 0, $F73-$F72)</f>
        <v>4.75</v>
      </c>
      <c r="N73" s="46">
        <f>MAX(tbl_FDX[[#This Row],[Move]],0)</f>
        <v>4.75</v>
      </c>
      <c r="O73" s="46">
        <f>MAX(-tbl_FDX[[#This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2.9564285714285665</v>
      </c>
      <c r="Q73" s="46">
        <f ca="1">IF(ROW($O73)-5&lt;RSI_Periods, "", AVERAGE(INDIRECT(ADDRESS(ROW($O73)-RSI_Periods +1, MATCH("Downmove", Price_Header,0))): INDIRECT(ADDRESS(ROW($O73),MATCH("Downmove", Price_Header,0)))))</f>
        <v>3.3642857142857077</v>
      </c>
      <c r="R73" s="46">
        <f ca="1">IF(tbl_FDX[[#This Row],[Avg_Upmove]]="", "", tbl_FDX[[#This Row],[Avg_Upmove]]/tbl_FDX[[#This Row],[Avg_Downmove]])</f>
        <v>0.87876857749469239</v>
      </c>
      <c r="S73" s="10">
        <f ca="1">IF(ROW($N73)-4&lt;BB_Periods, "", _xlfn.STDEV.S(INDIRECT(ADDRESS(ROW($F73)-RSI_Periods +1, MATCH("Adj Close", Price_Header,0))): INDIRECT(ADDRESS(ROW($F73),MATCH("Adj Close", Price_Header,0)))))</f>
        <v>6.1942947873093566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SUBTOTAL(103,tbl_FDX[BB_Stdev])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74"/>
  <sheetViews>
    <sheetView topLeftCell="B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3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3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3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3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3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3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3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3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3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3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3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3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3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3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3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3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3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3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3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3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3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3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3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3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3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3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35">
      <c r="A45" s="8">
        <v>44110</v>
      </c>
      <c r="B45">
        <v>24.3</v>
      </c>
      <c r="C45">
        <v>24.57</v>
      </c>
      <c r="D45">
        <v>23.08</v>
      </c>
      <c r="E45">
        <v>23.57</v>
      </c>
      <c r="F45">
        <v>23.57</v>
      </c>
      <c r="G45">
        <v>2267900</v>
      </c>
      <c r="H45" s="10">
        <f>IF(tbl_NKLA[[#This Row],[Date]]=$A$5, $F45, EMA_Beta*$H44 + (1-EMA_Beta)*$F45)</f>
        <v>26.696533119255996</v>
      </c>
      <c r="I45" s="46">
        <f ca="1">IF(tbl_NKLA[[#This Row],[RS]]= "", "", 100-(100/(1+tbl_NKLA[[#This Row],[RS]])))</f>
        <v>31.918065850351368</v>
      </c>
      <c r="J45" s="10">
        <f ca="1">IF(ROW($N45)-4&lt;BB_Periods, "", AVERAGE(INDIRECT(ADDRESS(ROW($F45)-RSI_Periods +1, MATCH("Adj Close", Price_Header,0))): INDIRECT(ADDRESS(ROW($F45),MATCH("Adj Close", Price_Header,0)))))</f>
        <v>24.085000142857144</v>
      </c>
      <c r="K45" s="10">
        <f ca="1">IF(tbl_NKLA[[#This Row],[BB_Mean]]="", "", tbl_NKLA[[#This Row],[BB_Mean]]+(BB_Width*tbl_NKLA[[#This Row],[BB_Stdev]]))</f>
        <v>34.587852341262106</v>
      </c>
      <c r="L45" s="10">
        <f ca="1">IF(tbl_NKLA[[#This Row],[BB_Mean]]="", "", tbl_NKLA[[#This Row],[BB_Mean]]-(BB_Width*tbl_NKLA[[#This Row],[BB_Stdev]]))</f>
        <v>13.582147944452183</v>
      </c>
      <c r="M45" s="46">
        <f>IF(ROW(tbl_NKLA[[#This Row],[Adj Close]])=5, 0, $F45-$F44)</f>
        <v>-0.21000000000000085</v>
      </c>
      <c r="N45" s="46">
        <f>MAX(tbl_NKLA[[#This Row],[Move]],0)</f>
        <v>0</v>
      </c>
      <c r="O45" s="46">
        <f>MAX(-tbl_NKLA[[#This Row],[Move]],0)</f>
        <v>0.21000000000000085</v>
      </c>
      <c r="P45" s="46">
        <f ca="1">IF(ROW($N45)-5&lt;RSI_Periods, "", AVERAGE(INDIRECT(ADDRESS(ROW($N45)-RSI_Periods +1, MATCH("Upmove", Price_Header,0))): INDIRECT(ADDRESS(ROW($N45),MATCH("Upmove", Price_Header,0)))))</f>
        <v>0.61214292857142893</v>
      </c>
      <c r="Q45" s="46">
        <f ca="1">IF(ROW($O45)-5&lt;RSI_Periods, "", AVERAGE(INDIRECT(ADDRESS(ROW($O45)-RSI_Periods +1, MATCH("Downmove", Price_Header,0))): INDIRECT(ADDRESS(ROW($O45),MATCH("Downmove", Price_Header,0)))))</f>
        <v>1.3057142857142858</v>
      </c>
      <c r="R45" s="46">
        <f ca="1">IF(tbl_NKLA[[#This Row],[Avg_Upmove]]="", "", tbl_NKLA[[#This Row],[Avg_Upmove]]/tbl_NKLA[[#This Row],[Avg_Downmove]])</f>
        <v>0.46881843544857793</v>
      </c>
      <c r="S45" s="10">
        <f ca="1">IF(ROW($N45)-4&lt;BB_Periods, "", _xlfn.STDEV.S(INDIRECT(ADDRESS(ROW($F45)-RSI_Periods +1, MATCH("Adj Close", Price_Header,0))): INDIRECT(ADDRESS(ROW($F45),MATCH("Adj Close", Price_Header,0)))))</f>
        <v>5.2514260992024804</v>
      </c>
    </row>
    <row r="46" spans="1:19" x14ac:dyDescent="0.35">
      <c r="A46" s="8">
        <v>44111</v>
      </c>
      <c r="B46">
        <v>23.71</v>
      </c>
      <c r="C46">
        <v>25.72</v>
      </c>
      <c r="D46">
        <v>23.7</v>
      </c>
      <c r="E46">
        <v>25.72</v>
      </c>
      <c r="F46">
        <v>25.72</v>
      </c>
      <c r="G46">
        <v>22669300</v>
      </c>
      <c r="H46" s="10">
        <f>IF(tbl_NKLA[[#This Row],[Date]]=$A$5, $F46, EMA_Beta*$H45 + (1-EMA_Beta)*$F46)</f>
        <v>26.598879807330395</v>
      </c>
      <c r="I46" s="46">
        <f ca="1">IF(tbl_NKLA[[#This Row],[RS]]= "", "", 100-(100/(1+tbl_NKLA[[#This Row],[RS]])))</f>
        <v>35.746919911910013</v>
      </c>
      <c r="J46" s="10">
        <f ca="1">IF(ROW($N46)-4&lt;BB_Periods, "", AVERAGE(INDIRECT(ADDRESS(ROW($F46)-RSI_Periods +1, MATCH("Adj Close", Price_Header,0))): INDIRECT(ADDRESS(ROW($F46),MATCH("Adj Close", Price_Header,0)))))</f>
        <v>23.50571428571428</v>
      </c>
      <c r="K46" s="10">
        <f ca="1">IF(tbl_NKLA[[#This Row],[BB_Mean]]="", "", tbl_NKLA[[#This Row],[BB_Mean]]+(BB_Width*tbl_NKLA[[#This Row],[BB_Stdev]]))</f>
        <v>32.476047318844977</v>
      </c>
      <c r="L46" s="10">
        <f ca="1">IF(tbl_NKLA[[#This Row],[BB_Mean]]="", "", tbl_NKLA[[#This Row],[BB_Mean]]-(BB_Width*tbl_NKLA[[#This Row],[BB_Stdev]]))</f>
        <v>14.535381252583585</v>
      </c>
      <c r="M46" s="46">
        <f>IF(ROW(tbl_NKLA[[#This Row],[Adj Close]])=5, 0, $F46-$F45)</f>
        <v>2.1499999999999986</v>
      </c>
      <c r="N46" s="46">
        <f>MAX(tbl_NKLA[[#This Row],[Move]],0)</f>
        <v>2.1499999999999986</v>
      </c>
      <c r="O46" s="46">
        <f>MAX(-tbl_NKLA[[#This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0.72642842857142853</v>
      </c>
      <c r="Q46" s="46">
        <f ca="1">IF(ROW($O46)-5&lt;RSI_Periods, "", AVERAGE(INDIRECT(ADDRESS(ROW($O46)-RSI_Periods +1, MATCH("Downmove", Price_Header,0))): INDIRECT(ADDRESS(ROW($O46),MATCH("Downmove", Price_Header,0)))))</f>
        <v>1.3057142857142858</v>
      </c>
      <c r="R46" s="46">
        <f ca="1">IF(tbl_NKLA[[#This Row],[Avg_Upmove]]="", "", tbl_NKLA[[#This Row],[Avg_Upmove]]/tbl_NKLA[[#This Row],[Avg_Downmove]])</f>
        <v>0.55634562363238504</v>
      </c>
      <c r="S46" s="10">
        <f ca="1">IF(ROW($N46)-4&lt;BB_Periods, "", _xlfn.STDEV.S(INDIRECT(ADDRESS(ROW($F46)-RSI_Periods +1, MATCH("Adj Close", Price_Header,0))): INDIRECT(ADDRESS(ROW($F46),MATCH("Adj Close", Price_Header,0)))))</f>
        <v>4.4851665165653474</v>
      </c>
    </row>
    <row r="47" spans="1:19" x14ac:dyDescent="0.35">
      <c r="A47" s="8">
        <v>44112</v>
      </c>
      <c r="B47">
        <v>26.19</v>
      </c>
      <c r="C47">
        <v>27.3</v>
      </c>
      <c r="D47">
        <v>24.22</v>
      </c>
      <c r="E47">
        <v>25</v>
      </c>
      <c r="F47">
        <v>25</v>
      </c>
      <c r="G47">
        <v>24624400</v>
      </c>
      <c r="H47" s="10">
        <f>IF(tbl_NKLA[[#This Row],[Date]]=$A$5, $F47, EMA_Beta*$H46 + (1-EMA_Beta)*$F47)</f>
        <v>26.438991826597356</v>
      </c>
      <c r="I47" s="46">
        <f ca="1">IF(tbl_NKLA[[#This Row],[RS]]= "", "", 100-(100/(1+tbl_NKLA[[#This Row],[RS]])))</f>
        <v>34.050676848316556</v>
      </c>
      <c r="J47" s="10">
        <f ca="1">IF(ROW($N47)-4&lt;BB_Periods, "", AVERAGE(INDIRECT(ADDRESS(ROW($F47)-RSI_Periods +1, MATCH("Adj Close", Price_Header,0))): INDIRECT(ADDRESS(ROW($F47),MATCH("Adj Close", Price_Header,0)))))</f>
        <v>22.849285714285713</v>
      </c>
      <c r="K47" s="10">
        <f ca="1">IF(tbl_NKLA[[#This Row],[BB_Mean]]="", "", tbl_NKLA[[#This Row],[BB_Mean]]+(BB_Width*tbl_NKLA[[#This Row],[BB_Stdev]]))</f>
        <v>29.495596266467579</v>
      </c>
      <c r="L47" s="10">
        <f ca="1">IF(tbl_NKLA[[#This Row],[BB_Mean]]="", "", tbl_NKLA[[#This Row],[BB_Mean]]-(BB_Width*tbl_NKLA[[#This Row],[BB_Stdev]]))</f>
        <v>16.202975162103847</v>
      </c>
      <c r="M47" s="46">
        <f>IF(ROW(tbl_NKLA[[#This Row],[Adj Close]])=5, 0, $F47-$F46)</f>
        <v>-0.71999999999999886</v>
      </c>
      <c r="N47" s="46">
        <f>MAX(tbl_NKLA[[#This Row],[Move]],0)</f>
        <v>0</v>
      </c>
      <c r="O47" s="46">
        <f>MAX(-tbl_NKLA[[#This Row],[Move]],0)</f>
        <v>0.71999999999999886</v>
      </c>
      <c r="P47" s="46">
        <f ca="1">IF(ROW($N47)-5&lt;RSI_Periods, "", AVERAGE(INDIRECT(ADDRESS(ROW($N47)-RSI_Periods +1, MATCH("Upmove", Price_Header,0))): INDIRECT(ADDRESS(ROW($N47),MATCH("Upmove", Price_Header,0)))))</f>
        <v>0.70071428571428584</v>
      </c>
      <c r="Q47" s="46">
        <f ca="1">IF(ROW($O47)-5&lt;RSI_Periods, "", AVERAGE(INDIRECT(ADDRESS(ROW($O47)-RSI_Periods +1, MATCH("Downmove", Price_Header,0))): INDIRECT(ADDRESS(ROW($O47),MATCH("Downmove", Price_Header,0)))))</f>
        <v>1.3571428571428572</v>
      </c>
      <c r="R47" s="46">
        <f ca="1">IF(tbl_NKLA[[#This Row],[Avg_Upmove]]="", "", tbl_NKLA[[#This Row],[Avg_Upmove]]/tbl_NKLA[[#This Row],[Avg_Downmove]])</f>
        <v>0.51631578947368428</v>
      </c>
      <c r="S47" s="10">
        <f ca="1">IF(ROW($N47)-4&lt;BB_Periods, "", _xlfn.STDEV.S(INDIRECT(ADDRESS(ROW($F47)-RSI_Periods +1, MATCH("Adj Close", Price_Header,0))): INDIRECT(ADDRESS(ROW($F47),MATCH("Adj Close", Price_Header,0)))))</f>
        <v>3.3231552760909322</v>
      </c>
    </row>
    <row r="48" spans="1:19" x14ac:dyDescent="0.35">
      <c r="A48" s="8">
        <v>44113</v>
      </c>
      <c r="B48">
        <v>25.01</v>
      </c>
      <c r="C48">
        <v>25.22</v>
      </c>
      <c r="D48">
        <v>24.01</v>
      </c>
      <c r="E48">
        <v>24.66</v>
      </c>
      <c r="F48">
        <v>24.66</v>
      </c>
      <c r="G48">
        <v>14617400</v>
      </c>
      <c r="H48" s="10">
        <f>IF(tbl_NKLA[[#This Row],[Date]]=$A$5, $F48, EMA_Beta*$H47 + (1-EMA_Beta)*$F48)</f>
        <v>26.261092643937623</v>
      </c>
      <c r="I48" s="46">
        <f ca="1">IF(tbl_NKLA[[#This Row],[RS]]= "", "", 100-(100/(1+tbl_NKLA[[#This Row],[RS]])))</f>
        <v>43.522626441881101</v>
      </c>
      <c r="J48" s="10">
        <f ca="1">IF(ROW($N48)-4&lt;BB_Periods, "", AVERAGE(INDIRECT(ADDRESS(ROW($F48)-RSI_Periods +1, MATCH("Adj Close", Price_Header,0))): INDIRECT(ADDRESS(ROW($F48),MATCH("Adj Close", Price_Header,0)))))</f>
        <v>22.640714285714289</v>
      </c>
      <c r="K48" s="10">
        <f ca="1">IF(tbl_NKLA[[#This Row],[BB_Mean]]="", "", tbl_NKLA[[#This Row],[BB_Mean]]+(BB_Width*tbl_NKLA[[#This Row],[BB_Stdev]]))</f>
        <v>28.813949140426065</v>
      </c>
      <c r="L48" s="10">
        <f ca="1">IF(tbl_NKLA[[#This Row],[BB_Mean]]="", "", tbl_NKLA[[#This Row],[BB_Mean]]-(BB_Width*tbl_NKLA[[#This Row],[BB_Stdev]]))</f>
        <v>16.467479431002513</v>
      </c>
      <c r="M48" s="46">
        <f>IF(ROW(tbl_NKLA[[#This Row],[Adj Close]])=5, 0, $F48-$F47)</f>
        <v>-0.33999999999999986</v>
      </c>
      <c r="N48" s="46">
        <f>MAX(tbl_NKLA[[#This Row],[Move]],0)</f>
        <v>0</v>
      </c>
      <c r="O48" s="46">
        <f>MAX(-tbl_NKLA[[#This Row],[Move]],0)</f>
        <v>0.33999999999999986</v>
      </c>
      <c r="P48" s="46">
        <f ca="1">IF(ROW($N48)-5&lt;RSI_Periods, "", AVERAGE(INDIRECT(ADDRESS(ROW($N48)-RSI_Periods +1, MATCH("Upmove", Price_Header,0))): INDIRECT(ADDRESS(ROW($N48),MATCH("Upmove", Price_Header,0)))))</f>
        <v>0.70071428571428584</v>
      </c>
      <c r="Q48" s="46">
        <f ca="1">IF(ROW($O48)-5&lt;RSI_Periods, "", AVERAGE(INDIRECT(ADDRESS(ROW($O48)-RSI_Periods +1, MATCH("Downmove", Price_Header,0))): INDIRECT(ADDRESS(ROW($O48),MATCH("Downmove", Price_Header,0)))))</f>
        <v>0.90928571428571436</v>
      </c>
      <c r="R48" s="46">
        <f ca="1">IF(tbl_NKLA[[#This Row],[Avg_Upmove]]="", "", tbl_NKLA[[#This Row],[Avg_Upmove]]/tbl_NKLA[[#This Row],[Avg_Downmove]])</f>
        <v>0.77062058130400635</v>
      </c>
      <c r="S48" s="10">
        <f ca="1">IF(ROW($N48)-4&lt;BB_Periods, "", _xlfn.STDEV.S(INDIRECT(ADDRESS(ROW($F48)-RSI_Periods +1, MATCH("Adj Close", Price_Header,0))): INDIRECT(ADDRESS(ROW($F48),MATCH("Adj Close", Price_Header,0)))))</f>
        <v>3.086617427355888</v>
      </c>
    </row>
    <row r="49" spans="1:19" x14ac:dyDescent="0.35">
      <c r="A49" s="8">
        <v>44116</v>
      </c>
      <c r="B49">
        <v>24.73</v>
      </c>
      <c r="C49">
        <v>24.79</v>
      </c>
      <c r="D49">
        <v>23.7</v>
      </c>
      <c r="E49">
        <v>24.15</v>
      </c>
      <c r="F49">
        <v>24.15</v>
      </c>
      <c r="G49">
        <v>11730600</v>
      </c>
      <c r="H49" s="10">
        <f>IF(tbl_NKLA[[#This Row],[Date]]=$A$5, $F49, EMA_Beta*$H48 + (1-EMA_Beta)*$F49)</f>
        <v>26.04998337954386</v>
      </c>
      <c r="I49" s="46">
        <f ca="1">IF(tbl_NKLA[[#This Row],[RS]]= "", "", 100-(100/(1+tbl_NKLA[[#This Row],[RS]])))</f>
        <v>40.144665461121157</v>
      </c>
      <c r="J49" s="10">
        <f ca="1">IF(ROW($N49)-4&lt;BB_Periods, "", AVERAGE(INDIRECT(ADDRESS(ROW($F49)-RSI_Periods +1, MATCH("Adj Close", Price_Header,0))): INDIRECT(ADDRESS(ROW($F49),MATCH("Adj Close", Price_Header,0)))))</f>
        <v>22.329285714285714</v>
      </c>
      <c r="K49" s="10">
        <f ca="1">IF(tbl_NKLA[[#This Row],[BB_Mean]]="", "", tbl_NKLA[[#This Row],[BB_Mean]]+(BB_Width*tbl_NKLA[[#This Row],[BB_Stdev]]))</f>
        <v>27.601135276080683</v>
      </c>
      <c r="L49" s="10">
        <f ca="1">IF(tbl_NKLA[[#This Row],[BB_Mean]]="", "", tbl_NKLA[[#This Row],[BB_Mean]]-(BB_Width*tbl_NKLA[[#This Row],[BB_Stdev]]))</f>
        <v>17.057436152490745</v>
      </c>
      <c r="M49" s="46">
        <f>IF(ROW(tbl_NKLA[[#This Row],[Adj Close]])=5, 0, $F49-$F48)</f>
        <v>-0.51000000000000156</v>
      </c>
      <c r="N49" s="46">
        <f>MAX(tbl_NKLA[[#This Row],[Move]],0)</f>
        <v>0</v>
      </c>
      <c r="O49" s="46">
        <f>MAX(-tbl_NKLA[[#This Row],[Move]],0)</f>
        <v>0.51000000000000156</v>
      </c>
      <c r="P49" s="46">
        <f ca="1">IF(ROW($N49)-5&lt;RSI_Periods, "", AVERAGE(INDIRECT(ADDRESS(ROW($N49)-RSI_Periods +1, MATCH("Upmove", Price_Header,0))): INDIRECT(ADDRESS(ROW($N49),MATCH("Upmove", Price_Header,0)))))</f>
        <v>0.63428571428571423</v>
      </c>
      <c r="Q49" s="46">
        <f ca="1">IF(ROW($O49)-5&lt;RSI_Periods, "", AVERAGE(INDIRECT(ADDRESS(ROW($O49)-RSI_Periods +1, MATCH("Downmove", Price_Header,0))): INDIRECT(ADDRESS(ROW($O49),MATCH("Downmove", Price_Header,0)))))</f>
        <v>0.94571428571428584</v>
      </c>
      <c r="R49" s="46">
        <f ca="1">IF(tbl_NKLA[[#This Row],[Avg_Upmove]]="", "", tbl_NKLA[[#This Row],[Avg_Upmove]]/tbl_NKLA[[#This Row],[Avg_Downmove]])</f>
        <v>0.67069486404833822</v>
      </c>
      <c r="S49" s="10">
        <f ca="1">IF(ROW($N49)-4&lt;BB_Periods, "", _xlfn.STDEV.S(INDIRECT(ADDRESS(ROW($F49)-RSI_Periods +1, MATCH("Adj Close", Price_Header,0))): INDIRECT(ADDRESS(ROW($F49),MATCH("Adj Close", Price_Header,0)))))</f>
        <v>2.6359247808974837</v>
      </c>
    </row>
    <row r="50" spans="1:19" x14ac:dyDescent="0.35">
      <c r="A50" s="8">
        <v>44117</v>
      </c>
      <c r="B50">
        <v>23.72</v>
      </c>
      <c r="C50">
        <v>25.18</v>
      </c>
      <c r="D50">
        <v>23.7</v>
      </c>
      <c r="E50">
        <v>24.23</v>
      </c>
      <c r="F50">
        <v>24.23</v>
      </c>
      <c r="G50">
        <v>13004600</v>
      </c>
      <c r="H50" s="10">
        <f>IF(tbl_NKLA[[#This Row],[Date]]=$A$5, $F50, EMA_Beta*$H49 + (1-EMA_Beta)*$F50)</f>
        <v>25.867985041589474</v>
      </c>
      <c r="I50" s="46">
        <f ca="1">IF(tbl_NKLA[[#This Row],[RS]]= "", "", 100-(100/(1+tbl_NKLA[[#This Row],[RS]])))</f>
        <v>60.377358490566046</v>
      </c>
      <c r="J50" s="10">
        <f ca="1">IF(ROW($N50)-4&lt;BB_Periods, "", AVERAGE(INDIRECT(ADDRESS(ROW($F50)-RSI_Periods +1, MATCH("Adj Close", Price_Header,0))): INDIRECT(ADDRESS(ROW($F50),MATCH("Adj Close", Price_Header,0)))))</f>
        <v>22.549285714285713</v>
      </c>
      <c r="K50" s="10">
        <f ca="1">IF(tbl_NKLA[[#This Row],[BB_Mean]]="", "", tbl_NKLA[[#This Row],[BB_Mean]]+(BB_Width*tbl_NKLA[[#This Row],[BB_Stdev]]))</f>
        <v>27.866013824900172</v>
      </c>
      <c r="L50" s="10">
        <f ca="1">IF(tbl_NKLA[[#This Row],[BB_Mean]]="", "", tbl_NKLA[[#This Row],[BB_Mean]]-(BB_Width*tbl_NKLA[[#This Row],[BB_Stdev]]))</f>
        <v>17.232557603671253</v>
      </c>
      <c r="M50" s="46">
        <f>IF(ROW(tbl_NKLA[[#This Row],[Adj Close]])=5, 0, $F50-$F49)</f>
        <v>8.0000000000001847E-2</v>
      </c>
      <c r="N50" s="46">
        <f>MAX(tbl_NKLA[[#This Row],[Move]],0)</f>
        <v>8.0000000000001847E-2</v>
      </c>
      <c r="O50" s="46">
        <f>MAX(-tbl_NKLA[[#This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0.64</v>
      </c>
      <c r="Q50" s="46">
        <f ca="1">IF(ROW($O50)-5&lt;RSI_Periods, "", AVERAGE(INDIRECT(ADDRESS(ROW($O50)-RSI_Periods +1, MATCH("Downmove", Price_Header,0))): INDIRECT(ADDRESS(ROW($O50),MATCH("Downmove", Price_Header,0)))))</f>
        <v>0.41999999999999993</v>
      </c>
      <c r="R50" s="46">
        <f ca="1">IF(tbl_NKLA[[#This Row],[Avg_Upmove]]="", "", tbl_NKLA[[#This Row],[Avg_Upmove]]/tbl_NKLA[[#This Row],[Avg_Downmove]])</f>
        <v>1.5238095238095242</v>
      </c>
      <c r="S50" s="10">
        <f ca="1">IF(ROW($N50)-4&lt;BB_Periods, "", _xlfn.STDEV.S(INDIRECT(ADDRESS(ROW($F50)-RSI_Periods +1, MATCH("Adj Close", Price_Header,0))): INDIRECT(ADDRESS(ROW($F50),MATCH("Adj Close", Price_Header,0)))))</f>
        <v>2.6583640553072296</v>
      </c>
    </row>
    <row r="51" spans="1:19" x14ac:dyDescent="0.35">
      <c r="A51" s="8">
        <v>44118</v>
      </c>
      <c r="B51">
        <v>24.37</v>
      </c>
      <c r="C51">
        <v>24.69</v>
      </c>
      <c r="D51">
        <v>23.74</v>
      </c>
      <c r="E51">
        <v>24.11</v>
      </c>
      <c r="F51">
        <v>24.11</v>
      </c>
      <c r="G51">
        <v>8592400</v>
      </c>
      <c r="H51" s="10">
        <f>IF(tbl_NKLA[[#This Row],[Date]]=$A$5, $F51, EMA_Beta*$H50 + (1-EMA_Beta)*$F51)</f>
        <v>25.69218653743053</v>
      </c>
      <c r="I51" s="46">
        <f ca="1">IF(tbl_NKLA[[#This Row],[RS]]= "", "", 100-(100/(1+tbl_NKLA[[#This Row],[RS]])))</f>
        <v>69.403563129357067</v>
      </c>
      <c r="J51" s="10">
        <f ca="1">IF(ROW($N51)-4&lt;BB_Periods, "", AVERAGE(INDIRECT(ADDRESS(ROW($F51)-RSI_Periods +1, MATCH("Adj Close", Price_Header,0))): INDIRECT(ADDRESS(ROW($F51),MATCH("Adj Close", Price_Header,0)))))</f>
        <v>22.907142857142855</v>
      </c>
      <c r="K51" s="10">
        <f ca="1">IF(tbl_NKLA[[#This Row],[BB_Mean]]="", "", tbl_NKLA[[#This Row],[BB_Mean]]+(BB_Width*tbl_NKLA[[#This Row],[BB_Stdev]]))</f>
        <v>27.887568718275791</v>
      </c>
      <c r="L51" s="10">
        <f ca="1">IF(tbl_NKLA[[#This Row],[BB_Mean]]="", "", tbl_NKLA[[#This Row],[BB_Mean]]-(BB_Width*tbl_NKLA[[#This Row],[BB_Stdev]]))</f>
        <v>17.926716996009919</v>
      </c>
      <c r="M51" s="46">
        <f>IF(ROW(tbl_NKLA[[#This Row],[Adj Close]])=5, 0, $F51-$F50)</f>
        <v>-0.12000000000000099</v>
      </c>
      <c r="N51" s="46">
        <f>MAX(tbl_NKLA[[#This Row],[Move]],0)</f>
        <v>0</v>
      </c>
      <c r="O51" s="46">
        <f>MAX(-tbl_NKLA[[#This Row],[Move]],0)</f>
        <v>0.12000000000000099</v>
      </c>
      <c r="P51" s="46">
        <f ca="1">IF(ROW($N51)-5&lt;RSI_Periods, "", AVERAGE(INDIRECT(ADDRESS(ROW($N51)-RSI_Periods +1, MATCH("Upmove", Price_Header,0))): INDIRECT(ADDRESS(ROW($N51),MATCH("Upmove", Price_Header,0)))))</f>
        <v>0.64</v>
      </c>
      <c r="Q51" s="46">
        <f ca="1">IF(ROW($O51)-5&lt;RSI_Periods, "", AVERAGE(INDIRECT(ADDRESS(ROW($O51)-RSI_Periods +1, MATCH("Downmove", Price_Header,0))): INDIRECT(ADDRESS(ROW($O51),MATCH("Downmove", Price_Header,0)))))</f>
        <v>0.28214285714285736</v>
      </c>
      <c r="R51" s="46">
        <f ca="1">IF(tbl_NKLA[[#This Row],[Avg_Upmove]]="", "", tbl_NKLA[[#This Row],[Avg_Upmove]]/tbl_NKLA[[#This Row],[Avg_Downmove]])</f>
        <v>2.2683544303797452</v>
      </c>
      <c r="S51" s="10">
        <f ca="1">IF(ROW($N51)-4&lt;BB_Periods, "", _xlfn.STDEV.S(INDIRECT(ADDRESS(ROW($F51)-RSI_Periods +1, MATCH("Adj Close", Price_Header,0))): INDIRECT(ADDRESS(ROW($F51),MATCH("Adj Close", Price_Header,0)))))</f>
        <v>2.490212930566468</v>
      </c>
    </row>
    <row r="52" spans="1:19" x14ac:dyDescent="0.35">
      <c r="A52" s="8">
        <v>44119</v>
      </c>
      <c r="B52">
        <v>23.41</v>
      </c>
      <c r="C52">
        <v>23.5</v>
      </c>
      <c r="D52">
        <v>22.72</v>
      </c>
      <c r="E52">
        <v>23.3</v>
      </c>
      <c r="F52">
        <v>23.3</v>
      </c>
      <c r="G52">
        <v>8774500</v>
      </c>
      <c r="H52" s="10">
        <f>IF(tbl_NKLA[[#This Row],[Date]]=$A$5, $F52, EMA_Beta*$H51 + (1-EMA_Beta)*$F52)</f>
        <v>25.452967883687474</v>
      </c>
      <c r="I52" s="46">
        <f ca="1">IF(tbl_NKLA[[#This Row],[RS]]= "", "", 100-(100/(1+tbl_NKLA[[#This Row],[RS]])))</f>
        <v>64.371257485029929</v>
      </c>
      <c r="J52" s="10">
        <f ca="1">IF(ROW($N52)-4&lt;BB_Periods, "", AVERAGE(INDIRECT(ADDRESS(ROW($F52)-RSI_Periods +1, MATCH("Adj Close", Price_Header,0))): INDIRECT(ADDRESS(ROW($F52),MATCH("Adj Close", Price_Header,0)))))</f>
        <v>23.181428571428572</v>
      </c>
      <c r="K52" s="10">
        <f ca="1">IF(tbl_NKLA[[#This Row],[BB_Mean]]="", "", tbl_NKLA[[#This Row],[BB_Mean]]+(BB_Width*tbl_NKLA[[#This Row],[BB_Stdev]]))</f>
        <v>27.749995807817527</v>
      </c>
      <c r="L52" s="10">
        <f ca="1">IF(tbl_NKLA[[#This Row],[BB_Mean]]="", "", tbl_NKLA[[#This Row],[BB_Mean]]-(BB_Width*tbl_NKLA[[#This Row],[BB_Stdev]]))</f>
        <v>18.612861335039618</v>
      </c>
      <c r="M52" s="46">
        <f>IF(ROW(tbl_NKLA[[#This Row],[Adj Close]])=5, 0, $F52-$F51)</f>
        <v>-0.80999999999999872</v>
      </c>
      <c r="N52" s="46">
        <f>MAX(tbl_NKLA[[#This Row],[Move]],0)</f>
        <v>0</v>
      </c>
      <c r="O52" s="46">
        <f>MAX(-tbl_NKLA[[#This Row],[Move]],0)</f>
        <v>0.80999999999999872</v>
      </c>
      <c r="P52" s="46">
        <f ca="1">IF(ROW($N52)-5&lt;RSI_Periods, "", AVERAGE(INDIRECT(ADDRESS(ROW($N52)-RSI_Periods +1, MATCH("Upmove", Price_Header,0))): INDIRECT(ADDRESS(ROW($N52),MATCH("Upmove", Price_Header,0)))))</f>
        <v>0.61428571428571443</v>
      </c>
      <c r="Q52" s="46">
        <f ca="1">IF(ROW($O52)-5&lt;RSI_Periods, "", AVERAGE(INDIRECT(ADDRESS(ROW($O52)-RSI_Periods +1, MATCH("Downmove", Price_Header,0))): INDIRECT(ADDRESS(ROW($O52),MATCH("Downmove", Price_Header,0)))))</f>
        <v>0.34000000000000014</v>
      </c>
      <c r="R52" s="46">
        <f ca="1">IF(tbl_NKLA[[#This Row],[Avg_Upmove]]="", "", tbl_NKLA[[#This Row],[Avg_Upmove]]/tbl_NKLA[[#This Row],[Avg_Downmove]])</f>
        <v>1.8067226890756301</v>
      </c>
      <c r="S52" s="10">
        <f ca="1">IF(ROW($N52)-4&lt;BB_Periods, "", _xlfn.STDEV.S(INDIRECT(ADDRESS(ROW($F52)-RSI_Periods +1, MATCH("Adj Close", Price_Header,0))): INDIRECT(ADDRESS(ROW($F52),MATCH("Adj Close", Price_Header,0)))))</f>
        <v>2.2842836181944763</v>
      </c>
    </row>
    <row r="53" spans="1:19" x14ac:dyDescent="0.35">
      <c r="A53" s="8">
        <v>44120</v>
      </c>
      <c r="B53">
        <v>22.97</v>
      </c>
      <c r="C53">
        <v>23.18</v>
      </c>
      <c r="D53">
        <v>19.5</v>
      </c>
      <c r="E53">
        <v>19.55</v>
      </c>
      <c r="F53">
        <v>19.55</v>
      </c>
      <c r="G53">
        <v>38065500</v>
      </c>
      <c r="H53" s="10">
        <f>IF(tbl_NKLA[[#This Row],[Date]]=$A$5, $F53, EMA_Beta*$H52 + (1-EMA_Beta)*$F53)</f>
        <v>24.862671095318724</v>
      </c>
      <c r="I53" s="46">
        <f ca="1">IF(tbl_NKLA[[#This Row],[RS]]= "", "", 100-(100/(1+tbl_NKLA[[#This Row],[RS]])))</f>
        <v>50.737463126843657</v>
      </c>
      <c r="J53" s="10">
        <f ca="1">IF(ROW($N53)-4&lt;BB_Periods, "", AVERAGE(INDIRECT(ADDRESS(ROW($F53)-RSI_Periods +1, MATCH("Adj Close", Price_Header,0))): INDIRECT(ADDRESS(ROW($F53),MATCH("Adj Close", Price_Header,0)))))</f>
        <v>23.199285714285715</v>
      </c>
      <c r="K53" s="10">
        <f ca="1">IF(tbl_NKLA[[#This Row],[BB_Mean]]="", "", tbl_NKLA[[#This Row],[BB_Mean]]+(BB_Width*tbl_NKLA[[#This Row],[BB_Stdev]]))</f>
        <v>27.70400777886649</v>
      </c>
      <c r="L53" s="10">
        <f ca="1">IF(tbl_NKLA[[#This Row],[BB_Mean]]="", "", tbl_NKLA[[#This Row],[BB_Mean]]-(BB_Width*tbl_NKLA[[#This Row],[BB_Stdev]]))</f>
        <v>18.694563649704939</v>
      </c>
      <c r="M53" s="46">
        <f>IF(ROW(tbl_NKLA[[#This Row],[Adj Close]])=5, 0, $F53-$F52)</f>
        <v>-3.75</v>
      </c>
      <c r="N53" s="46">
        <f>MAX(tbl_NKLA[[#This Row],[Move]],0)</f>
        <v>0</v>
      </c>
      <c r="O53" s="46">
        <f>MAX(-tbl_NKLA[[#This Row],[Move]],0)</f>
        <v>3.75</v>
      </c>
      <c r="P53" s="46">
        <f ca="1">IF(ROW($N53)-5&lt;RSI_Periods, "", AVERAGE(INDIRECT(ADDRESS(ROW($N53)-RSI_Periods +1, MATCH("Upmove", Price_Header,0))): INDIRECT(ADDRESS(ROW($N53),MATCH("Upmove", Price_Header,0)))))</f>
        <v>0.61428571428571443</v>
      </c>
      <c r="Q53" s="46">
        <f ca="1">IF(ROW($O53)-5&lt;RSI_Periods, "", AVERAGE(INDIRECT(ADDRESS(ROW($O53)-RSI_Periods +1, MATCH("Downmove", Price_Header,0))): INDIRECT(ADDRESS(ROW($O53),MATCH("Downmove", Price_Header,0)))))</f>
        <v>0.59642857142857153</v>
      </c>
      <c r="R53" s="46">
        <f ca="1">IF(tbl_NKLA[[#This Row],[Avg_Upmove]]="", "", tbl_NKLA[[#This Row],[Avg_Upmove]]/tbl_NKLA[[#This Row],[Avg_Downmove]])</f>
        <v>1.0299401197604792</v>
      </c>
      <c r="S53" s="10">
        <f ca="1">IF(ROW($N53)-4&lt;BB_Periods, "", _xlfn.STDEV.S(INDIRECT(ADDRESS(ROW($F53)-RSI_Periods +1, MATCH("Adj Close", Price_Header,0))): INDIRECT(ADDRESS(ROW($F53),MATCH("Adj Close", Price_Header,0)))))</f>
        <v>2.2523610322903878</v>
      </c>
    </row>
    <row r="54" spans="1:19" x14ac:dyDescent="0.35">
      <c r="A54" s="8">
        <v>44123</v>
      </c>
      <c r="B54">
        <v>20.14</v>
      </c>
      <c r="C54">
        <v>21.79</v>
      </c>
      <c r="D54">
        <v>20.079999999999998</v>
      </c>
      <c r="E54">
        <v>20.46</v>
      </c>
      <c r="F54">
        <v>20.46</v>
      </c>
      <c r="G54">
        <v>25112100</v>
      </c>
      <c r="H54" s="10">
        <f>IF(tbl_NKLA[[#This Row],[Date]]=$A$5, $F54, EMA_Beta*$H53 + (1-EMA_Beta)*$F54)</f>
        <v>24.42240398578685</v>
      </c>
      <c r="I54" s="46">
        <f ca="1">IF(tbl_NKLA[[#This Row],[RS]]= "", "", 100-(100/(1+tbl_NKLA[[#This Row],[RS]])))</f>
        <v>57.846715328467155</v>
      </c>
      <c r="J54" s="10">
        <f ca="1">IF(ROW($N54)-4&lt;BB_Periods, "", AVERAGE(INDIRECT(ADDRESS(ROW($F54)-RSI_Periods +1, MATCH("Adj Close", Price_Header,0))): INDIRECT(ADDRESS(ROW($F54),MATCH("Adj Close", Price_Header,0)))))</f>
        <v>23.383571428571429</v>
      </c>
      <c r="K54" s="10">
        <f ca="1">IF(tbl_NKLA[[#This Row],[BB_Mean]]="", "", tbl_NKLA[[#This Row],[BB_Mean]]+(BB_Width*tbl_NKLA[[#This Row],[BB_Stdev]]))</f>
        <v>27.091530495168637</v>
      </c>
      <c r="L54" s="10">
        <f ca="1">IF(tbl_NKLA[[#This Row],[BB_Mean]]="", "", tbl_NKLA[[#This Row],[BB_Mean]]-(BB_Width*tbl_NKLA[[#This Row],[BB_Stdev]]))</f>
        <v>19.67561236197422</v>
      </c>
      <c r="M54" s="46">
        <f>IF(ROW(tbl_NKLA[[#This Row],[Adj Close]])=5, 0, $F54-$F53)</f>
        <v>0.91000000000000014</v>
      </c>
      <c r="N54" s="46">
        <f>MAX(tbl_NKLA[[#This Row],[Move]],0)</f>
        <v>0.91000000000000014</v>
      </c>
      <c r="O54" s="46">
        <f>MAX(-tbl_NKLA[[#This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0.67928571428571438</v>
      </c>
      <c r="Q54" s="46">
        <f ca="1">IF(ROW($O54)-5&lt;RSI_Periods, "", AVERAGE(INDIRECT(ADDRESS(ROW($O54)-RSI_Periods +1, MATCH("Downmove", Price_Header,0))): INDIRECT(ADDRESS(ROW($O54),MATCH("Downmove", Price_Header,0)))))</f>
        <v>0.495</v>
      </c>
      <c r="R54" s="46">
        <f ca="1">IF(tbl_NKLA[[#This Row],[Avg_Upmove]]="", "", tbl_NKLA[[#This Row],[Avg_Upmove]]/tbl_NKLA[[#This Row],[Avg_Downmove]])</f>
        <v>1.3722943722943726</v>
      </c>
      <c r="S54" s="10">
        <f ca="1">IF(ROW($N54)-4&lt;BB_Periods, "", _xlfn.STDEV.S(INDIRECT(ADDRESS(ROW($F54)-RSI_Periods +1, MATCH("Adj Close", Price_Header,0))): INDIRECT(ADDRESS(ROW($F54),MATCH("Adj Close", Price_Header,0)))))</f>
        <v>1.8539795332986035</v>
      </c>
    </row>
    <row r="55" spans="1:19" x14ac:dyDescent="0.35">
      <c r="A55" s="8">
        <v>44124</v>
      </c>
      <c r="B55">
        <v>20.6</v>
      </c>
      <c r="C55">
        <v>21</v>
      </c>
      <c r="D55">
        <v>19.88</v>
      </c>
      <c r="E55">
        <v>20.72</v>
      </c>
      <c r="F55">
        <v>20.72</v>
      </c>
      <c r="G55">
        <v>10122400</v>
      </c>
      <c r="H55" s="10">
        <f>IF(tbl_NKLA[[#This Row],[Date]]=$A$5, $F55, EMA_Beta*$H54 + (1-EMA_Beta)*$F55)</f>
        <v>24.052163587208167</v>
      </c>
      <c r="I55" s="46">
        <f ca="1">IF(tbl_NKLA[[#This Row],[RS]]= "", "", 100-(100/(1+tbl_NKLA[[#This Row],[RS]])))</f>
        <v>50.851063829787229</v>
      </c>
      <c r="J55" s="10">
        <f ca="1">IF(ROW($N55)-4&lt;BB_Periods, "", AVERAGE(INDIRECT(ADDRESS(ROW($F55)-RSI_Periods +1, MATCH("Adj Close", Price_Header,0))): INDIRECT(ADDRESS(ROW($F55),MATCH("Adj Close", Price_Header,0)))))</f>
        <v>23.400714285714287</v>
      </c>
      <c r="K55" s="10">
        <f ca="1">IF(tbl_NKLA[[#This Row],[BB_Mean]]="", "", tbl_NKLA[[#This Row],[BB_Mean]]+(BB_Width*tbl_NKLA[[#This Row],[BB_Stdev]]))</f>
        <v>27.052642874498904</v>
      </c>
      <c r="L55" s="10">
        <f ca="1">IF(tbl_NKLA[[#This Row],[BB_Mean]]="", "", tbl_NKLA[[#This Row],[BB_Mean]]-(BB_Width*tbl_NKLA[[#This Row],[BB_Stdev]]))</f>
        <v>19.748785696929669</v>
      </c>
      <c r="M55" s="46">
        <f>IF(ROW(tbl_NKLA[[#This Row],[Adj Close]])=5, 0, $F55-$F54)</f>
        <v>0.25999999999999801</v>
      </c>
      <c r="N55" s="46">
        <f>MAX(tbl_NKLA[[#This Row],[Move]],0)</f>
        <v>0.25999999999999801</v>
      </c>
      <c r="O55" s="46">
        <f>MAX(-tbl_NKLA[[#This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0.51214285714285701</v>
      </c>
      <c r="Q55" s="46">
        <f ca="1">IF(ROW($O55)-5&lt;RSI_Periods, "", AVERAGE(INDIRECT(ADDRESS(ROW($O55)-RSI_Periods +1, MATCH("Downmove", Price_Header,0))): INDIRECT(ADDRESS(ROW($O55),MATCH("Downmove", Price_Header,0)))))</f>
        <v>0.495</v>
      </c>
      <c r="R55" s="46">
        <f ca="1">IF(tbl_NKLA[[#This Row],[Avg_Upmove]]="", "", tbl_NKLA[[#This Row],[Avg_Upmove]]/tbl_NKLA[[#This Row],[Avg_Downmove]])</f>
        <v>1.0346320346320343</v>
      </c>
      <c r="S55" s="10">
        <f ca="1">IF(ROW($N55)-4&lt;BB_Periods, "", _xlfn.STDEV.S(INDIRECT(ADDRESS(ROW($F55)-RSI_Periods +1, MATCH("Adj Close", Price_Header,0))): INDIRECT(ADDRESS(ROW($F55),MATCH("Adj Close", Price_Header,0)))))</f>
        <v>1.8259642943923091</v>
      </c>
    </row>
    <row r="56" spans="1:19" x14ac:dyDescent="0.35">
      <c r="A56" s="8">
        <v>44125</v>
      </c>
      <c r="B56">
        <v>22.44</v>
      </c>
      <c r="C56">
        <v>23.35</v>
      </c>
      <c r="D56">
        <v>21.1</v>
      </c>
      <c r="E56">
        <v>22.24</v>
      </c>
      <c r="F56">
        <v>22.24</v>
      </c>
      <c r="G56">
        <v>31003700</v>
      </c>
      <c r="H56" s="10">
        <f>IF(tbl_NKLA[[#This Row],[Date]]=$A$5, $F56, EMA_Beta*$H55 + (1-EMA_Beta)*$F56)</f>
        <v>23.870947228487349</v>
      </c>
      <c r="I56" s="46">
        <f ca="1">IF(tbl_NKLA[[#This Row],[RS]]= "", "", 100-(100/(1+tbl_NKLA[[#This Row],[RS]])))</f>
        <v>42.201834862385311</v>
      </c>
      <c r="J56" s="10">
        <f ca="1">IF(ROW($N56)-4&lt;BB_Periods, "", AVERAGE(INDIRECT(ADDRESS(ROW($F56)-RSI_Periods +1, MATCH("Adj Close", Price_Header,0))): INDIRECT(ADDRESS(ROW($F56),MATCH("Adj Close", Price_Header,0)))))</f>
        <v>23.267142857142858</v>
      </c>
      <c r="K56" s="10">
        <f ca="1">IF(tbl_NKLA[[#This Row],[BB_Mean]]="", "", tbl_NKLA[[#This Row],[BB_Mean]]+(BB_Width*tbl_NKLA[[#This Row],[BB_Stdev]]))</f>
        <v>26.944026391805401</v>
      </c>
      <c r="L56" s="10">
        <f ca="1">IF(tbl_NKLA[[#This Row],[BB_Mean]]="", "", tbl_NKLA[[#This Row],[BB_Mean]]-(BB_Width*tbl_NKLA[[#This Row],[BB_Stdev]]))</f>
        <v>19.590259322480314</v>
      </c>
      <c r="M56" s="46">
        <f>IF(ROW(tbl_NKLA[[#This Row],[Adj Close]])=5, 0, $F56-$F55)</f>
        <v>1.5199999999999996</v>
      </c>
      <c r="N56" s="46">
        <f>MAX(tbl_NKLA[[#This Row],[Move]],0)</f>
        <v>1.5199999999999996</v>
      </c>
      <c r="O56" s="46">
        <f>MAX(-tbl_NKLA[[#This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0.36142857142857132</v>
      </c>
      <c r="Q56" s="46">
        <f ca="1">IF(ROW($O56)-5&lt;RSI_Periods, "", AVERAGE(INDIRECT(ADDRESS(ROW($O56)-RSI_Periods +1, MATCH("Downmove", Price_Header,0))): INDIRECT(ADDRESS(ROW($O56),MATCH("Downmove", Price_Header,0)))))</f>
        <v>0.495</v>
      </c>
      <c r="R56" s="46">
        <f ca="1">IF(tbl_NKLA[[#This Row],[Avg_Upmove]]="", "", tbl_NKLA[[#This Row],[Avg_Upmove]]/tbl_NKLA[[#This Row],[Avg_Downmove]])</f>
        <v>0.7301587301587299</v>
      </c>
      <c r="S56" s="10">
        <f ca="1">IF(ROW($N56)-4&lt;BB_Periods, "", _xlfn.STDEV.S(INDIRECT(ADDRESS(ROW($F56)-RSI_Periods +1, MATCH("Adj Close", Price_Header,0))): INDIRECT(ADDRESS(ROW($F56),MATCH("Adj Close", Price_Header,0)))))</f>
        <v>1.8384417673312723</v>
      </c>
    </row>
    <row r="57" spans="1:19" x14ac:dyDescent="0.35">
      <c r="A57" s="8">
        <v>44126</v>
      </c>
      <c r="B57">
        <v>22.36</v>
      </c>
      <c r="C57">
        <v>22.86</v>
      </c>
      <c r="D57">
        <v>21.7</v>
      </c>
      <c r="E57">
        <v>22.72</v>
      </c>
      <c r="F57">
        <v>22.72</v>
      </c>
      <c r="G57">
        <v>10576400</v>
      </c>
      <c r="H57" s="10">
        <f>IF(tbl_NKLA[[#This Row],[Date]]=$A$5, $F57, EMA_Beta*$H56 + (1-EMA_Beta)*$F57)</f>
        <v>23.755852505638615</v>
      </c>
      <c r="I57" s="46">
        <f ca="1">IF(tbl_NKLA[[#This Row],[RS]]= "", "", 100-(100/(1+tbl_NKLA[[#This Row],[RS]])))</f>
        <v>43.795620437956195</v>
      </c>
      <c r="J57" s="10">
        <f ca="1">IF(ROW($N57)-4&lt;BB_Periods, "", AVERAGE(INDIRECT(ADDRESS(ROW($F57)-RSI_Periods +1, MATCH("Adj Close", Price_Header,0))): INDIRECT(ADDRESS(ROW($F57),MATCH("Adj Close", Price_Header,0)))))</f>
        <v>23.157857142857146</v>
      </c>
      <c r="K57" s="10">
        <f ca="1">IF(tbl_NKLA[[#This Row],[BB_Mean]]="", "", tbl_NKLA[[#This Row],[BB_Mean]]+(BB_Width*tbl_NKLA[[#This Row],[BB_Stdev]]))</f>
        <v>26.799684060312629</v>
      </c>
      <c r="L57" s="10">
        <f ca="1">IF(tbl_NKLA[[#This Row],[BB_Mean]]="", "", tbl_NKLA[[#This Row],[BB_Mean]]-(BB_Width*tbl_NKLA[[#This Row],[BB_Stdev]]))</f>
        <v>19.516030225401664</v>
      </c>
      <c r="M57" s="46">
        <f>IF(ROW(tbl_NKLA[[#This Row],[Adj Close]])=5, 0, $F57-$F56)</f>
        <v>0.48000000000000043</v>
      </c>
      <c r="N57" s="46">
        <f>MAX(tbl_NKLA[[#This Row],[Move]],0)</f>
        <v>0.48000000000000043</v>
      </c>
      <c r="O57" s="46">
        <f>MAX(-tbl_NKLA[[#This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0.38571428571428562</v>
      </c>
      <c r="Q57" s="46">
        <f ca="1">IF(ROW($O57)-5&lt;RSI_Periods, "", AVERAGE(INDIRECT(ADDRESS(ROW($O57)-RSI_Periods +1, MATCH("Downmove", Price_Header,0))): INDIRECT(ADDRESS(ROW($O57),MATCH("Downmove", Price_Header,0)))))</f>
        <v>0.495</v>
      </c>
      <c r="R57" s="46">
        <f ca="1">IF(tbl_NKLA[[#This Row],[Avg_Upmove]]="", "", tbl_NKLA[[#This Row],[Avg_Upmove]]/tbl_NKLA[[#This Row],[Avg_Downmove]])</f>
        <v>0.77922077922077904</v>
      </c>
      <c r="S57" s="10">
        <f ca="1">IF(ROW($N57)-4&lt;BB_Periods, "", _xlfn.STDEV.S(INDIRECT(ADDRESS(ROW($F57)-RSI_Periods +1, MATCH("Adj Close", Price_Header,0))): INDIRECT(ADDRESS(ROW($F57),MATCH("Adj Close", Price_Header,0)))))</f>
        <v>1.8209134587277407</v>
      </c>
    </row>
    <row r="58" spans="1:19" x14ac:dyDescent="0.35">
      <c r="A58" s="8">
        <v>44127</v>
      </c>
      <c r="B58">
        <v>23</v>
      </c>
      <c r="C58">
        <v>23.05</v>
      </c>
      <c r="D58">
        <v>21.95</v>
      </c>
      <c r="E58">
        <v>22.54</v>
      </c>
      <c r="F58">
        <v>22.54</v>
      </c>
      <c r="G58">
        <v>6934800</v>
      </c>
      <c r="H58" s="10">
        <f>IF(tbl_NKLA[[#This Row],[Date]]=$A$5, $F58, EMA_Beta*$H57 + (1-EMA_Beta)*$F58)</f>
        <v>23.634267255074754</v>
      </c>
      <c r="I58" s="46">
        <f ca="1">IF(tbl_NKLA[[#This Row],[RS]]= "", "", 100-(100/(1+tbl_NKLA[[#This Row],[RS]])))</f>
        <v>44.85049833887043</v>
      </c>
      <c r="J58" s="10">
        <f ca="1">IF(ROW($N58)-4&lt;BB_Periods, "", AVERAGE(INDIRECT(ADDRESS(ROW($F58)-RSI_Periods +1, MATCH("Adj Close", Price_Header,0))): INDIRECT(ADDRESS(ROW($F58),MATCH("Adj Close", Price_Header,0)))))</f>
        <v>23.069285714285719</v>
      </c>
      <c r="K58" s="10">
        <f ca="1">IF(tbl_NKLA[[#This Row],[BB_Mean]]="", "", tbl_NKLA[[#This Row],[BB_Mean]]+(BB_Width*tbl_NKLA[[#This Row],[BB_Stdev]]))</f>
        <v>26.706245258365737</v>
      </c>
      <c r="L58" s="10">
        <f ca="1">IF(tbl_NKLA[[#This Row],[BB_Mean]]="", "", tbl_NKLA[[#This Row],[BB_Mean]]-(BB_Width*tbl_NKLA[[#This Row],[BB_Stdev]]))</f>
        <v>19.432326170205702</v>
      </c>
      <c r="M58" s="46">
        <f>IF(ROW(tbl_NKLA[[#This Row],[Adj Close]])=5, 0, $F58-$F57)</f>
        <v>-0.17999999999999972</v>
      </c>
      <c r="N58" s="46">
        <f>MAX(tbl_NKLA[[#This Row],[Move]],0)</f>
        <v>0</v>
      </c>
      <c r="O58" s="46">
        <f>MAX(-tbl_NKLA[[#This Row],[Move]],0)</f>
        <v>0.17999999999999972</v>
      </c>
      <c r="P58" s="46">
        <f ca="1">IF(ROW($N58)-5&lt;RSI_Periods, "", AVERAGE(INDIRECT(ADDRESS(ROW($N58)-RSI_Periods +1, MATCH("Upmove", Price_Header,0))): INDIRECT(ADDRESS(ROW($N58),MATCH("Upmove", Price_Header,0)))))</f>
        <v>0.38571428571428562</v>
      </c>
      <c r="Q58" s="46">
        <f ca="1">IF(ROW($O58)-5&lt;RSI_Periods, "", AVERAGE(INDIRECT(ADDRESS(ROW($O58)-RSI_Periods +1, MATCH("Downmove", Price_Header,0))): INDIRECT(ADDRESS(ROW($O58),MATCH("Downmove", Price_Header,0)))))</f>
        <v>0.47428571428571431</v>
      </c>
      <c r="R58" s="46">
        <f ca="1">IF(tbl_NKLA[[#This Row],[Avg_Upmove]]="", "", tbl_NKLA[[#This Row],[Avg_Upmove]]/tbl_NKLA[[#This Row],[Avg_Downmove]])</f>
        <v>0.81325301204819256</v>
      </c>
      <c r="S58" s="10">
        <f ca="1">IF(ROW($N58)-4&lt;BB_Periods, "", _xlfn.STDEV.S(INDIRECT(ADDRESS(ROW($F58)-RSI_Periods +1, MATCH("Adj Close", Price_Header,0))): INDIRECT(ADDRESS(ROW($F58),MATCH("Adj Close", Price_Header,0)))))</f>
        <v>1.8184797720400085</v>
      </c>
    </row>
    <row r="59" spans="1:19" x14ac:dyDescent="0.35">
      <c r="A59" s="8">
        <v>44130</v>
      </c>
      <c r="B59">
        <v>22.15</v>
      </c>
      <c r="C59">
        <v>22.57</v>
      </c>
      <c r="D59">
        <v>20.71</v>
      </c>
      <c r="E59">
        <v>20.91</v>
      </c>
      <c r="F59">
        <v>20.91</v>
      </c>
      <c r="G59">
        <v>8149800</v>
      </c>
      <c r="H59" s="10">
        <f>IF(tbl_NKLA[[#This Row],[Date]]=$A$5, $F59, EMA_Beta*$H58 + (1-EMA_Beta)*$F59)</f>
        <v>23.361840529567282</v>
      </c>
      <c r="I59" s="46">
        <f ca="1">IF(tbl_NKLA[[#This Row],[RS]]= "", "", 100-(100/(1+tbl_NKLA[[#This Row],[RS]])))</f>
        <v>40.118870728083202</v>
      </c>
      <c r="J59" s="10">
        <f ca="1">IF(ROW($N59)-4&lt;BB_Periods, "", AVERAGE(INDIRECT(ADDRESS(ROW($F59)-RSI_Periods +1, MATCH("Adj Close", Price_Header,0))): INDIRECT(ADDRESS(ROW($F59),MATCH("Adj Close", Price_Header,0)))))</f>
        <v>22.879285714285718</v>
      </c>
      <c r="K59" s="10">
        <f ca="1">IF(tbl_NKLA[[#This Row],[BB_Mean]]="", "", tbl_NKLA[[#This Row],[BB_Mean]]+(BB_Width*tbl_NKLA[[#This Row],[BB_Stdev]]))</f>
        <v>26.677896507199879</v>
      </c>
      <c r="L59" s="10">
        <f ca="1">IF(tbl_NKLA[[#This Row],[BB_Mean]]="", "", tbl_NKLA[[#This Row],[BB_Mean]]-(BB_Width*tbl_NKLA[[#This Row],[BB_Stdev]]))</f>
        <v>19.080674921371557</v>
      </c>
      <c r="M59" s="46">
        <f>IF(ROW(tbl_NKLA[[#This Row],[Adj Close]])=5, 0, $F59-$F58)</f>
        <v>-1.629999999999999</v>
      </c>
      <c r="N59" s="46">
        <f>MAX(tbl_NKLA[[#This Row],[Move]],0)</f>
        <v>0</v>
      </c>
      <c r="O59" s="46">
        <f>MAX(-tbl_NKLA[[#This Row],[Move]],0)</f>
        <v>1.629999999999999</v>
      </c>
      <c r="P59" s="46">
        <f ca="1">IF(ROW($N59)-5&lt;RSI_Periods, "", AVERAGE(INDIRECT(ADDRESS(ROW($N59)-RSI_Periods +1, MATCH("Upmove", Price_Header,0))): INDIRECT(ADDRESS(ROW($N59),MATCH("Upmove", Price_Header,0)))))</f>
        <v>0.38571428571428562</v>
      </c>
      <c r="Q59" s="46">
        <f ca="1">IF(ROW($O59)-5&lt;RSI_Periods, "", AVERAGE(INDIRECT(ADDRESS(ROW($O59)-RSI_Periods +1, MATCH("Downmove", Price_Header,0))): INDIRECT(ADDRESS(ROW($O59),MATCH("Downmove", Price_Header,0)))))</f>
        <v>0.57571428571428562</v>
      </c>
      <c r="R59" s="46">
        <f ca="1">IF(tbl_NKLA[[#This Row],[Avg_Upmove]]="", "", tbl_NKLA[[#This Row],[Avg_Upmove]]/tbl_NKLA[[#This Row],[Avg_Downmove]])</f>
        <v>0.66997518610421836</v>
      </c>
      <c r="S59" s="10">
        <f ca="1">IF(ROW($N59)-4&lt;BB_Periods, "", _xlfn.STDEV.S(INDIRECT(ADDRESS(ROW($F59)-RSI_Periods +1, MATCH("Adj Close", Price_Header,0))): INDIRECT(ADDRESS(ROW($F59),MATCH("Adj Close", Price_Header,0)))))</f>
        <v>1.8993053964570807</v>
      </c>
    </row>
    <row r="60" spans="1:19" x14ac:dyDescent="0.35">
      <c r="A60" s="8">
        <v>44131</v>
      </c>
      <c r="B60">
        <v>21</v>
      </c>
      <c r="C60">
        <v>22.1</v>
      </c>
      <c r="D60">
        <v>20.87</v>
      </c>
      <c r="E60">
        <v>21.39</v>
      </c>
      <c r="F60">
        <v>21.39</v>
      </c>
      <c r="G60">
        <v>5702300</v>
      </c>
      <c r="H60" s="10">
        <f>IF(tbl_NKLA[[#This Row],[Date]]=$A$5, $F60, EMA_Beta*$H59 + (1-EMA_Beta)*$F60)</f>
        <v>23.164656476610553</v>
      </c>
      <c r="I60" s="46">
        <f ca="1">IF(tbl_NKLA[[#This Row],[RS]]= "", "", 100-(100/(1+tbl_NKLA[[#This Row],[RS]])))</f>
        <v>31.636980491942339</v>
      </c>
      <c r="J60" s="10">
        <f ca="1">IF(ROW($N60)-4&lt;BB_Periods, "", AVERAGE(INDIRECT(ADDRESS(ROW($F60)-RSI_Periods +1, MATCH("Adj Close", Price_Header,0))): INDIRECT(ADDRESS(ROW($F60),MATCH("Adj Close", Price_Header,0)))))</f>
        <v>22.570000000000004</v>
      </c>
      <c r="K60" s="10">
        <f ca="1">IF(tbl_NKLA[[#This Row],[BB_Mean]]="", "", tbl_NKLA[[#This Row],[BB_Mean]]+(BB_Width*tbl_NKLA[[#This Row],[BB_Stdev]]))</f>
        <v>26.065262728102361</v>
      </c>
      <c r="L60" s="10">
        <f ca="1">IF(tbl_NKLA[[#This Row],[BB_Mean]]="", "", tbl_NKLA[[#This Row],[BB_Mean]]-(BB_Width*tbl_NKLA[[#This Row],[BB_Stdev]]))</f>
        <v>19.074737271897646</v>
      </c>
      <c r="M60" s="46">
        <f>IF(ROW(tbl_NKLA[[#This Row],[Adj Close]])=5, 0, $F60-$F59)</f>
        <v>0.48000000000000043</v>
      </c>
      <c r="N60" s="46">
        <f>MAX(tbl_NKLA[[#This Row],[Move]],0)</f>
        <v>0.48000000000000043</v>
      </c>
      <c r="O60" s="46">
        <f>MAX(-tbl_NKLA[[#This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0.26642857142857146</v>
      </c>
      <c r="Q60" s="46">
        <f ca="1">IF(ROW($O60)-5&lt;RSI_Periods, "", AVERAGE(INDIRECT(ADDRESS(ROW($O60)-RSI_Periods +1, MATCH("Downmove", Price_Header,0))): INDIRECT(ADDRESS(ROW($O60),MATCH("Downmove", Price_Header,0)))))</f>
        <v>0.57571428571428562</v>
      </c>
      <c r="R60" s="46">
        <f ca="1">IF(tbl_NKLA[[#This Row],[Avg_Upmove]]="", "", tbl_NKLA[[#This Row],[Avg_Upmove]]/tbl_NKLA[[#This Row],[Avg_Downmove]])</f>
        <v>0.46277915632754357</v>
      </c>
      <c r="S60" s="10">
        <f ca="1">IF(ROW($N60)-4&lt;BB_Periods, "", _xlfn.STDEV.S(INDIRECT(ADDRESS(ROW($F60)-RSI_Periods +1, MATCH("Adj Close", Price_Header,0))): INDIRECT(ADDRESS(ROW($F60),MATCH("Adj Close", Price_Header,0)))))</f>
        <v>1.7476313640511791</v>
      </c>
    </row>
    <row r="61" spans="1:19" x14ac:dyDescent="0.35">
      <c r="A61" s="8">
        <v>44132</v>
      </c>
      <c r="B61">
        <v>20.91</v>
      </c>
      <c r="C61">
        <v>20.94</v>
      </c>
      <c r="D61">
        <v>19.329999999999998</v>
      </c>
      <c r="E61">
        <v>19.670000000000002</v>
      </c>
      <c r="F61">
        <v>19.670000000000002</v>
      </c>
      <c r="G61">
        <v>10060400</v>
      </c>
      <c r="H61" s="10">
        <f>IF(tbl_NKLA[[#This Row],[Date]]=$A$5, $F61, EMA_Beta*$H60 + (1-EMA_Beta)*$F61)</f>
        <v>22.815190828949497</v>
      </c>
      <c r="I61" s="46">
        <f ca="1">IF(tbl_NKLA[[#This Row],[RS]]= "", "", 100-(100/(1+tbl_NKLA[[#This Row],[RS]])))</f>
        <v>29.163408913213445</v>
      </c>
      <c r="J61" s="10">
        <f ca="1">IF(ROW($N61)-4&lt;BB_Periods, "", AVERAGE(INDIRECT(ADDRESS(ROW($F61)-RSI_Periods +1, MATCH("Adj Close", Price_Header,0))): INDIRECT(ADDRESS(ROW($F61),MATCH("Adj Close", Price_Header,0)))))</f>
        <v>22.189285714285717</v>
      </c>
      <c r="K61" s="10">
        <f ca="1">IF(tbl_NKLA[[#This Row],[BB_Mean]]="", "", tbl_NKLA[[#This Row],[BB_Mean]]+(BB_Width*tbl_NKLA[[#This Row],[BB_Stdev]]))</f>
        <v>25.705432768930915</v>
      </c>
      <c r="L61" s="10">
        <f ca="1">IF(tbl_NKLA[[#This Row],[BB_Mean]]="", "", tbl_NKLA[[#This Row],[BB_Mean]]-(BB_Width*tbl_NKLA[[#This Row],[BB_Stdev]]))</f>
        <v>18.673138659640518</v>
      </c>
      <c r="M61" s="46">
        <f>IF(ROW(tbl_NKLA[[#This Row],[Adj Close]])=5, 0, $F61-$F60)</f>
        <v>-1.7199999999999989</v>
      </c>
      <c r="N61" s="46">
        <f>MAX(tbl_NKLA[[#This Row],[Move]],0)</f>
        <v>0</v>
      </c>
      <c r="O61" s="46">
        <f>MAX(-tbl_NKLA[[#This Row],[Move]],0)</f>
        <v>1.7199999999999989</v>
      </c>
      <c r="P61" s="46">
        <f ca="1">IF(ROW($N61)-5&lt;RSI_Periods, "", AVERAGE(INDIRECT(ADDRESS(ROW($N61)-RSI_Periods +1, MATCH("Upmove", Price_Header,0))): INDIRECT(ADDRESS(ROW($N61),MATCH("Upmove", Price_Header,0)))))</f>
        <v>0.26642857142857146</v>
      </c>
      <c r="Q61" s="46">
        <f ca="1">IF(ROW($O61)-5&lt;RSI_Periods, "", AVERAGE(INDIRECT(ADDRESS(ROW($O61)-RSI_Periods +1, MATCH("Downmove", Price_Header,0))): INDIRECT(ADDRESS(ROW($O61),MATCH("Downmove", Price_Header,0)))))</f>
        <v>0.64714285714285702</v>
      </c>
      <c r="R61" s="46">
        <f ca="1">IF(tbl_NKLA[[#This Row],[Avg_Upmove]]="", "", tbl_NKLA[[#This Row],[Avg_Upmove]]/tbl_NKLA[[#This Row],[Avg_Downmove]])</f>
        <v>0.41169977924944823</v>
      </c>
      <c r="S61" s="10">
        <f ca="1">IF(ROW($N61)-4&lt;BB_Periods, "", _xlfn.STDEV.S(INDIRECT(ADDRESS(ROW($F61)-RSI_Periods +1, MATCH("Adj Close", Price_Header,0))): INDIRECT(ADDRESS(ROW($F61),MATCH("Adj Close", Price_Header,0)))))</f>
        <v>1.7580735273225991</v>
      </c>
    </row>
    <row r="62" spans="1:19" x14ac:dyDescent="0.35">
      <c r="A62" s="8">
        <v>44133</v>
      </c>
      <c r="B62">
        <v>19.920000000000002</v>
      </c>
      <c r="C62">
        <v>20.25</v>
      </c>
      <c r="D62">
        <v>19.22</v>
      </c>
      <c r="E62">
        <v>19.79</v>
      </c>
      <c r="F62">
        <v>19.79</v>
      </c>
      <c r="G62">
        <v>5449200</v>
      </c>
      <c r="H62" s="10">
        <f>IF(tbl_NKLA[[#This Row],[Date]]=$A$5, $F62, EMA_Beta*$H61 + (1-EMA_Beta)*$F62)</f>
        <v>22.512671746054547</v>
      </c>
      <c r="I62" s="46">
        <f ca="1">IF(tbl_NKLA[[#This Row],[RS]]= "", "", 100-(100/(1+tbl_NKLA[[#This Row],[RS]])))</f>
        <v>30.628480509148758</v>
      </c>
      <c r="J62" s="10">
        <f ca="1">IF(ROW($N62)-4&lt;BB_Periods, "", AVERAGE(INDIRECT(ADDRESS(ROW($F62)-RSI_Periods +1, MATCH("Adj Close", Price_Header,0))): INDIRECT(ADDRESS(ROW($F62),MATCH("Adj Close", Price_Header,0)))))</f>
        <v>21.841428571428573</v>
      </c>
      <c r="K62" s="10">
        <f ca="1">IF(tbl_NKLA[[#This Row],[BB_Mean]]="", "", tbl_NKLA[[#This Row],[BB_Mean]]+(BB_Width*tbl_NKLA[[#This Row],[BB_Stdev]]))</f>
        <v>25.26706816038223</v>
      </c>
      <c r="L62" s="10">
        <f ca="1">IF(tbl_NKLA[[#This Row],[BB_Mean]]="", "", tbl_NKLA[[#This Row],[BB_Mean]]-(BB_Width*tbl_NKLA[[#This Row],[BB_Stdev]]))</f>
        <v>18.415788982474915</v>
      </c>
      <c r="M62" s="46">
        <f>IF(ROW(tbl_NKLA[[#This Row],[Adj Close]])=5, 0, $F62-$F61)</f>
        <v>0.11999999999999744</v>
      </c>
      <c r="N62" s="46">
        <f>MAX(tbl_NKLA[[#This Row],[Move]],0)</f>
        <v>0.11999999999999744</v>
      </c>
      <c r="O62" s="46">
        <f>MAX(-tbl_NKLA[[#This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0.27499999999999986</v>
      </c>
      <c r="Q62" s="46">
        <f ca="1">IF(ROW($O62)-5&lt;RSI_Periods, "", AVERAGE(INDIRECT(ADDRESS(ROW($O62)-RSI_Periods +1, MATCH("Downmove", Price_Header,0))): INDIRECT(ADDRESS(ROW($O62),MATCH("Downmove", Price_Header,0)))))</f>
        <v>0.62285714285714278</v>
      </c>
      <c r="R62" s="46">
        <f ca="1">IF(tbl_NKLA[[#This Row],[Avg_Upmove]]="", "", tbl_NKLA[[#This Row],[Avg_Upmove]]/tbl_NKLA[[#This Row],[Avg_Downmove]])</f>
        <v>0.44151376146788973</v>
      </c>
      <c r="S62" s="10">
        <f ca="1">IF(ROW($N62)-4&lt;BB_Periods, "", _xlfn.STDEV.S(INDIRECT(ADDRESS(ROW($F62)-RSI_Periods +1, MATCH("Adj Close", Price_Header,0))): INDIRECT(ADDRESS(ROW($F62),MATCH("Adj Close", Price_Header,0)))))</f>
        <v>1.7128197944768291</v>
      </c>
    </row>
    <row r="63" spans="1:19" x14ac:dyDescent="0.35">
      <c r="A63" s="8">
        <v>44134</v>
      </c>
      <c r="B63">
        <v>19.63</v>
      </c>
      <c r="C63">
        <v>19.87</v>
      </c>
      <c r="D63">
        <v>17.86</v>
      </c>
      <c r="E63">
        <v>18.309999999999999</v>
      </c>
      <c r="F63">
        <v>18.309999999999999</v>
      </c>
      <c r="G63">
        <v>10171900</v>
      </c>
      <c r="H63" s="10">
        <f>IF(tbl_NKLA[[#This Row],[Date]]=$A$5, $F63, EMA_Beta*$H62 + (1-EMA_Beta)*$F63)</f>
        <v>22.092404571449091</v>
      </c>
      <c r="I63" s="46">
        <f ca="1">IF(tbl_NKLA[[#This Row],[RS]]= "", "", 100-(100/(1+tbl_NKLA[[#This Row],[RS]])))</f>
        <v>28.434268833087145</v>
      </c>
      <c r="J63" s="10">
        <f ca="1">IF(ROW($N63)-4&lt;BB_Periods, "", AVERAGE(INDIRECT(ADDRESS(ROW($F63)-RSI_Periods +1, MATCH("Adj Close", Price_Header,0))): INDIRECT(ADDRESS(ROW($F63),MATCH("Adj Close", Price_Header,0)))))</f>
        <v>21.42428571428572</v>
      </c>
      <c r="K63" s="10">
        <f ca="1">IF(tbl_NKLA[[#This Row],[BB_Mean]]="", "", tbl_NKLA[[#This Row],[BB_Mean]]+(BB_Width*tbl_NKLA[[#This Row],[BB_Stdev]]))</f>
        <v>25.055100111471727</v>
      </c>
      <c r="L63" s="10">
        <f ca="1">IF(tbl_NKLA[[#This Row],[BB_Mean]]="", "", tbl_NKLA[[#This Row],[BB_Mean]]-(BB_Width*tbl_NKLA[[#This Row],[BB_Stdev]]))</f>
        <v>17.793471317099712</v>
      </c>
      <c r="M63" s="46">
        <f>IF(ROW(tbl_NKLA[[#This Row],[Adj Close]])=5, 0, $F63-$F62)</f>
        <v>-1.4800000000000004</v>
      </c>
      <c r="N63" s="46">
        <f>MAX(tbl_NKLA[[#This Row],[Move]],0)</f>
        <v>0</v>
      </c>
      <c r="O63" s="46">
        <f>MAX(-tbl_NKLA[[#This Row],[Move]],0)</f>
        <v>1.4800000000000004</v>
      </c>
      <c r="P63" s="46">
        <f ca="1">IF(ROW($N63)-5&lt;RSI_Periods, "", AVERAGE(INDIRECT(ADDRESS(ROW($N63)-RSI_Periods +1, MATCH("Upmove", Price_Header,0))): INDIRECT(ADDRESS(ROW($N63),MATCH("Upmove", Price_Header,0)))))</f>
        <v>0.27499999999999986</v>
      </c>
      <c r="Q63" s="46">
        <f ca="1">IF(ROW($O63)-5&lt;RSI_Periods, "", AVERAGE(INDIRECT(ADDRESS(ROW($O63)-RSI_Periods +1, MATCH("Downmove", Price_Header,0))): INDIRECT(ADDRESS(ROW($O63),MATCH("Downmove", Price_Header,0)))))</f>
        <v>0.69214285714285695</v>
      </c>
      <c r="R63" s="46">
        <f ca="1">IF(tbl_NKLA[[#This Row],[Avg_Upmove]]="", "", tbl_NKLA[[#This Row],[Avg_Upmove]]/tbl_NKLA[[#This Row],[Avg_Downmove]])</f>
        <v>0.39731682146542818</v>
      </c>
      <c r="S63" s="10">
        <f ca="1">IF(ROW($N63)-4&lt;BB_Periods, "", _xlfn.STDEV.S(INDIRECT(ADDRESS(ROW($F63)-RSI_Periods +1, MATCH("Adj Close", Price_Header,0))): INDIRECT(ADDRESS(ROW($F63),MATCH("Adj Close", Price_Header,0)))))</f>
        <v>1.8154071985930034</v>
      </c>
    </row>
    <row r="64" spans="1:19" x14ac:dyDescent="0.35">
      <c r="A64" s="8">
        <v>44137</v>
      </c>
      <c r="B64">
        <v>18.7</v>
      </c>
      <c r="C64">
        <v>19.13</v>
      </c>
      <c r="D64">
        <v>18.350000000000001</v>
      </c>
      <c r="E64">
        <v>18.579999999999998</v>
      </c>
      <c r="F64">
        <v>18.579999999999998</v>
      </c>
      <c r="G64">
        <v>5942000</v>
      </c>
      <c r="H64" s="10">
        <f>IF(tbl_NKLA[[#This Row],[Date]]=$A$5, $F64, EMA_Beta*$H63 + (1-EMA_Beta)*$F64)</f>
        <v>21.741164114304183</v>
      </c>
      <c r="I64" s="46">
        <f ca="1">IF(tbl_NKLA[[#This Row],[RS]]= "", "", 100-(100/(1+tbl_NKLA[[#This Row],[RS]])))</f>
        <v>29.424617625637282</v>
      </c>
      <c r="J64" s="10">
        <f ca="1">IF(ROW($N64)-4&lt;BB_Periods, "", AVERAGE(INDIRECT(ADDRESS(ROW($F64)-RSI_Periods +1, MATCH("Adj Close", Price_Header,0))): INDIRECT(ADDRESS(ROW($F64),MATCH("Adj Close", Price_Header,0)))))</f>
        <v>21.020714285714288</v>
      </c>
      <c r="K64" s="10">
        <f ca="1">IF(tbl_NKLA[[#This Row],[BB_Mean]]="", "", tbl_NKLA[[#This Row],[BB_Mean]]+(BB_Width*tbl_NKLA[[#This Row],[BB_Stdev]]))</f>
        <v>24.563068689959398</v>
      </c>
      <c r="L64" s="10">
        <f ca="1">IF(tbl_NKLA[[#This Row],[BB_Mean]]="", "", tbl_NKLA[[#This Row],[BB_Mean]]-(BB_Width*tbl_NKLA[[#This Row],[BB_Stdev]]))</f>
        <v>17.478359881469178</v>
      </c>
      <c r="M64" s="46">
        <f>IF(ROW(tbl_NKLA[[#This Row],[Adj Close]])=5, 0, $F64-$F63)</f>
        <v>0.26999999999999957</v>
      </c>
      <c r="N64" s="46">
        <f>MAX(tbl_NKLA[[#This Row],[Move]],0)</f>
        <v>0.26999999999999957</v>
      </c>
      <c r="O64" s="46">
        <f>MAX(-tbl_NKLA[[#This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0.28857142857142826</v>
      </c>
      <c r="Q64" s="46">
        <f ca="1">IF(ROW($O64)-5&lt;RSI_Periods, "", AVERAGE(INDIRECT(ADDRESS(ROW($O64)-RSI_Periods +1, MATCH("Downmove", Price_Header,0))): INDIRECT(ADDRESS(ROW($O64),MATCH("Downmove", Price_Header,0)))))</f>
        <v>0.69214285714285695</v>
      </c>
      <c r="R64" s="46">
        <f ca="1">IF(tbl_NKLA[[#This Row],[Avg_Upmove]]="", "", tbl_NKLA[[#This Row],[Avg_Upmove]]/tbl_NKLA[[#This Row],[Avg_Downmove]])</f>
        <v>0.41692466460268285</v>
      </c>
      <c r="S64" s="10">
        <f ca="1">IF(ROW($N64)-4&lt;BB_Periods, "", _xlfn.STDEV.S(INDIRECT(ADDRESS(ROW($F64)-RSI_Periods +1, MATCH("Adj Close", Price_Header,0))): INDIRECT(ADDRESS(ROW($F64),MATCH("Adj Close", Price_Header,0)))))</f>
        <v>1.7711772021225547</v>
      </c>
    </row>
    <row r="65" spans="1:19" x14ac:dyDescent="0.35">
      <c r="A65" s="8">
        <v>44138</v>
      </c>
      <c r="B65">
        <v>18.899999999999999</v>
      </c>
      <c r="C65">
        <v>19.2</v>
      </c>
      <c r="D65">
        <v>18.73</v>
      </c>
      <c r="E65">
        <v>18.84</v>
      </c>
      <c r="F65">
        <v>18.84</v>
      </c>
      <c r="G65">
        <v>6368200</v>
      </c>
      <c r="H65" s="10">
        <f>IF(tbl_NKLA[[#This Row],[Date]]=$A$5, $F65, EMA_Beta*$H64 + (1-EMA_Beta)*$F65)</f>
        <v>21.451047702873765</v>
      </c>
      <c r="I65" s="46">
        <f ca="1">IF(tbl_NKLA[[#This Row],[RS]]= "", "", 100-(100/(1+tbl_NKLA[[#This Row],[RS]])))</f>
        <v>31.00216294160056</v>
      </c>
      <c r="J65" s="10">
        <f ca="1">IF(ROW($N65)-4&lt;BB_Periods, "", AVERAGE(INDIRECT(ADDRESS(ROW($F65)-RSI_Periods +1, MATCH("Adj Close", Price_Header,0))): INDIRECT(ADDRESS(ROW($F65),MATCH("Adj Close", Price_Header,0)))))</f>
        <v>20.644285714285711</v>
      </c>
      <c r="K65" s="10">
        <f ca="1">IF(tbl_NKLA[[#This Row],[BB_Mean]]="", "", tbl_NKLA[[#This Row],[BB_Mean]]+(BB_Width*tbl_NKLA[[#This Row],[BB_Stdev]]))</f>
        <v>23.879188773451133</v>
      </c>
      <c r="L65" s="10">
        <f ca="1">IF(tbl_NKLA[[#This Row],[BB_Mean]]="", "", tbl_NKLA[[#This Row],[BB_Mean]]-(BB_Width*tbl_NKLA[[#This Row],[BB_Stdev]]))</f>
        <v>17.409382655120289</v>
      </c>
      <c r="M65" s="46">
        <f>IF(ROW(tbl_NKLA[[#This Row],[Adj Close]])=5, 0, $F65-$F64)</f>
        <v>0.26000000000000156</v>
      </c>
      <c r="N65" s="46">
        <f>MAX(tbl_NKLA[[#This Row],[Move]],0)</f>
        <v>0.26000000000000156</v>
      </c>
      <c r="O65" s="46">
        <f>MAX(-tbl_NKLA[[#This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0.30714285714285694</v>
      </c>
      <c r="Q65" s="46">
        <f ca="1">IF(ROW($O65)-5&lt;RSI_Periods, "", AVERAGE(INDIRECT(ADDRESS(ROW($O65)-RSI_Periods +1, MATCH("Downmove", Price_Header,0))): INDIRECT(ADDRESS(ROW($O65),MATCH("Downmove", Price_Header,0)))))</f>
        <v>0.68357142857142839</v>
      </c>
      <c r="R65" s="46">
        <f ca="1">IF(tbl_NKLA[[#This Row],[Avg_Upmove]]="", "", tbl_NKLA[[#This Row],[Avg_Upmove]]/tbl_NKLA[[#This Row],[Avg_Downmove]])</f>
        <v>0.44932079414838016</v>
      </c>
      <c r="S65" s="10">
        <f ca="1">IF(ROW($N65)-4&lt;BB_Periods, "", _xlfn.STDEV.S(INDIRECT(ADDRESS(ROW($F65)-RSI_Periods +1, MATCH("Adj Close", Price_Header,0))): INDIRECT(ADDRESS(ROW($F65),MATCH("Adj Close", Price_Header,0)))))</f>
        <v>1.6174515295827108</v>
      </c>
    </row>
    <row r="66" spans="1:19" x14ac:dyDescent="0.35">
      <c r="A66" s="8">
        <v>44139</v>
      </c>
      <c r="B66">
        <v>18.91</v>
      </c>
      <c r="C66">
        <v>19.28</v>
      </c>
      <c r="D66">
        <v>18.36</v>
      </c>
      <c r="E66">
        <v>18.46</v>
      </c>
      <c r="F66">
        <v>18.46</v>
      </c>
      <c r="G66">
        <v>7947300</v>
      </c>
      <c r="H66" s="10">
        <f>IF(tbl_NKLA[[#This Row],[Date]]=$A$5, $F66, EMA_Beta*$H65 + (1-EMA_Beta)*$F66)</f>
        <v>21.15194293258639</v>
      </c>
      <c r="I66" s="46">
        <f ca="1">IF(tbl_NKLA[[#This Row],[RS]]= "", "", 100-(100/(1+tbl_NKLA[[#This Row],[RS]])))</f>
        <v>31.994047619047606</v>
      </c>
      <c r="J66" s="10">
        <f ca="1">IF(ROW($N66)-4&lt;BB_Periods, "", AVERAGE(INDIRECT(ADDRESS(ROW($F66)-RSI_Periods +1, MATCH("Adj Close", Price_Header,0))): INDIRECT(ADDRESS(ROW($F66),MATCH("Adj Close", Price_Header,0)))))</f>
        <v>20.298571428571424</v>
      </c>
      <c r="K66" s="10">
        <f ca="1">IF(tbl_NKLA[[#This Row],[BB_Mean]]="", "", tbl_NKLA[[#This Row],[BB_Mean]]+(BB_Width*tbl_NKLA[[#This Row],[BB_Stdev]]))</f>
        <v>23.339571842330606</v>
      </c>
      <c r="L66" s="10">
        <f ca="1">IF(tbl_NKLA[[#This Row],[BB_Mean]]="", "", tbl_NKLA[[#This Row],[BB_Mean]]-(BB_Width*tbl_NKLA[[#This Row],[BB_Stdev]]))</f>
        <v>17.257571014812243</v>
      </c>
      <c r="M66" s="46">
        <f>IF(ROW(tbl_NKLA[[#This Row],[Adj Close]])=5, 0, $F66-$F65)</f>
        <v>-0.37999999999999901</v>
      </c>
      <c r="N66" s="46">
        <f>MAX(tbl_NKLA[[#This Row],[Move]],0)</f>
        <v>0</v>
      </c>
      <c r="O66" s="46">
        <f>MAX(-tbl_NKLA[[#This Row],[Move]],0)</f>
        <v>0.37999999999999901</v>
      </c>
      <c r="P66" s="46">
        <f ca="1">IF(ROW($N66)-5&lt;RSI_Periods, "", AVERAGE(INDIRECT(ADDRESS(ROW($N66)-RSI_Periods +1, MATCH("Upmove", Price_Header,0))): INDIRECT(ADDRESS(ROW($N66),MATCH("Upmove", Price_Header,0)))))</f>
        <v>0.30714285714285694</v>
      </c>
      <c r="Q66" s="46">
        <f ca="1">IF(ROW($O66)-5&lt;RSI_Periods, "", AVERAGE(INDIRECT(ADDRESS(ROW($O66)-RSI_Periods +1, MATCH("Downmove", Price_Header,0))): INDIRECT(ADDRESS(ROW($O66),MATCH("Downmove", Price_Header,0)))))</f>
        <v>0.65285714285714269</v>
      </c>
      <c r="R66" s="46">
        <f ca="1">IF(tbl_NKLA[[#This Row],[Avg_Upmove]]="", "", tbl_NKLA[[#This Row],[Avg_Upmove]]/tbl_NKLA[[#This Row],[Avg_Downmove]])</f>
        <v>0.4704595185995622</v>
      </c>
      <c r="S66" s="10">
        <f ca="1">IF(ROW($N66)-4&lt;BB_Periods, "", _xlfn.STDEV.S(INDIRECT(ADDRESS(ROW($F66)-RSI_Periods +1, MATCH("Adj Close", Price_Header,0))): INDIRECT(ADDRESS(ROW($F66),MATCH("Adj Close", Price_Header,0)))))</f>
        <v>1.5205002068795908</v>
      </c>
    </row>
    <row r="67" spans="1:19" x14ac:dyDescent="0.35">
      <c r="A67" s="8">
        <v>44140</v>
      </c>
      <c r="B67">
        <v>19.3</v>
      </c>
      <c r="C67">
        <v>20.49</v>
      </c>
      <c r="D67">
        <v>19.02</v>
      </c>
      <c r="E67">
        <v>19.95</v>
      </c>
      <c r="F67">
        <v>19.95</v>
      </c>
      <c r="G67">
        <v>13312200</v>
      </c>
      <c r="H67" s="10">
        <f>IF(tbl_NKLA[[#This Row],[Date]]=$A$5, $F67, EMA_Beta*$H66 + (1-EMA_Beta)*$F67)</f>
        <v>21.031748639327752</v>
      </c>
      <c r="I67" s="46">
        <f ca="1">IF(tbl_NKLA[[#This Row],[RS]]= "", "", 100-(100/(1+tbl_NKLA[[#This Row],[RS]])))</f>
        <v>51.788908765652941</v>
      </c>
      <c r="J67" s="10">
        <f ca="1">IF(ROW($N67)-4&lt;BB_Periods, "", AVERAGE(INDIRECT(ADDRESS(ROW($F67)-RSI_Periods +1, MATCH("Adj Close", Price_Header,0))): INDIRECT(ADDRESS(ROW($F67),MATCH("Adj Close", Price_Header,0)))))</f>
        <v>20.32714285714286</v>
      </c>
      <c r="K67" s="10">
        <f ca="1">IF(tbl_NKLA[[#This Row],[BB_Mean]]="", "", tbl_NKLA[[#This Row],[BB_Mean]]+(BB_Width*tbl_NKLA[[#This Row],[BB_Stdev]]))</f>
        <v>23.345277059913517</v>
      </c>
      <c r="L67" s="10">
        <f ca="1">IF(tbl_NKLA[[#This Row],[BB_Mean]]="", "", tbl_NKLA[[#This Row],[BB_Mean]]-(BB_Width*tbl_NKLA[[#This Row],[BB_Stdev]]))</f>
        <v>17.309008654372203</v>
      </c>
      <c r="M67" s="46">
        <f>IF(ROW(tbl_NKLA[[#This Row],[Adj Close]])=5, 0, $F67-$F66)</f>
        <v>1.4899999999999984</v>
      </c>
      <c r="N67" s="46">
        <f>MAX(tbl_NKLA[[#This Row],[Move]],0)</f>
        <v>1.4899999999999984</v>
      </c>
      <c r="O67" s="46">
        <f>MAX(-tbl_NKLA[[#This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0.41357142857142826</v>
      </c>
      <c r="Q67" s="46">
        <f ca="1">IF(ROW($O67)-5&lt;RSI_Periods, "", AVERAGE(INDIRECT(ADDRESS(ROW($O67)-RSI_Periods +1, MATCH("Downmove", Price_Header,0))): INDIRECT(ADDRESS(ROW($O67),MATCH("Downmove", Price_Header,0)))))</f>
        <v>0.38499999999999979</v>
      </c>
      <c r="R67" s="46">
        <f ca="1">IF(tbl_NKLA[[#This Row],[Avg_Upmove]]="", "", tbl_NKLA[[#This Row],[Avg_Upmove]]/tbl_NKLA[[#This Row],[Avg_Downmove]])</f>
        <v>1.0742115027829311</v>
      </c>
      <c r="S67" s="10">
        <f ca="1">IF(ROW($N67)-4&lt;BB_Periods, "", _xlfn.STDEV.S(INDIRECT(ADDRESS(ROW($F67)-RSI_Periods +1, MATCH("Adj Close", Price_Header,0))): INDIRECT(ADDRESS(ROW($F67),MATCH("Adj Close", Price_Header,0)))))</f>
        <v>1.5090671013853278</v>
      </c>
    </row>
    <row r="68" spans="1:19" x14ac:dyDescent="0.35">
      <c r="A68" s="8">
        <v>44141</v>
      </c>
      <c r="B68">
        <v>19.96</v>
      </c>
      <c r="C68">
        <v>19.97</v>
      </c>
      <c r="D68">
        <v>18.61</v>
      </c>
      <c r="E68">
        <v>19.579999999999998</v>
      </c>
      <c r="F68">
        <v>19.579999999999998</v>
      </c>
      <c r="G68">
        <v>8674400</v>
      </c>
      <c r="H68" s="10">
        <f>IF(tbl_NKLA[[#This Row],[Date]]=$A$5, $F68, EMA_Beta*$H67 + (1-EMA_Beta)*$F68)</f>
        <v>20.886573775394975</v>
      </c>
      <c r="I68" s="46">
        <f ca="1">IF(tbl_NKLA[[#This Row],[RS]]= "", "", 100-(100/(1+tbl_NKLA[[#This Row],[RS]])))</f>
        <v>45.864661654135318</v>
      </c>
      <c r="J68" s="10">
        <f ca="1">IF(ROW($N68)-4&lt;BB_Periods, "", AVERAGE(INDIRECT(ADDRESS(ROW($F68)-RSI_Periods +1, MATCH("Adj Close", Price_Header,0))): INDIRECT(ADDRESS(ROW($F68),MATCH("Adj Close", Price_Header,0)))))</f>
        <v>20.264285714285712</v>
      </c>
      <c r="K68" s="10">
        <f ca="1">IF(tbl_NKLA[[#This Row],[BB_Mean]]="", "", tbl_NKLA[[#This Row],[BB_Mean]]+(BB_Width*tbl_NKLA[[#This Row],[BB_Stdev]]))</f>
        <v>23.307054840598774</v>
      </c>
      <c r="L68" s="10">
        <f ca="1">IF(tbl_NKLA[[#This Row],[BB_Mean]]="", "", tbl_NKLA[[#This Row],[BB_Mean]]-(BB_Width*tbl_NKLA[[#This Row],[BB_Stdev]]))</f>
        <v>17.221516587972651</v>
      </c>
      <c r="M68" s="46">
        <f>IF(ROW(tbl_NKLA[[#This Row],[Adj Close]])=5, 0, $F68-$F67)</f>
        <v>-0.37000000000000099</v>
      </c>
      <c r="N68" s="46">
        <f>MAX(tbl_NKLA[[#This Row],[Move]],0)</f>
        <v>0</v>
      </c>
      <c r="O68" s="46">
        <f>MAX(-tbl_NKLA[[#This Row],[Move]],0)</f>
        <v>0.37000000000000099</v>
      </c>
      <c r="P68" s="46">
        <f ca="1">IF(ROW($N68)-5&lt;RSI_Periods, "", AVERAGE(INDIRECT(ADDRESS(ROW($N68)-RSI_Periods +1, MATCH("Upmove", Price_Header,0))): INDIRECT(ADDRESS(ROW($N68),MATCH("Upmove", Price_Header,0)))))</f>
        <v>0.34857142857142825</v>
      </c>
      <c r="Q68" s="46">
        <f ca="1">IF(ROW($O68)-5&lt;RSI_Periods, "", AVERAGE(INDIRECT(ADDRESS(ROW($O68)-RSI_Periods +1, MATCH("Downmove", Price_Header,0))): INDIRECT(ADDRESS(ROW($O68),MATCH("Downmove", Price_Header,0)))))</f>
        <v>0.41142857142857131</v>
      </c>
      <c r="R68" s="46">
        <f ca="1">IF(tbl_NKLA[[#This Row],[Avg_Upmove]]="", "", tbl_NKLA[[#This Row],[Avg_Upmove]]/tbl_NKLA[[#This Row],[Avg_Downmove]])</f>
        <v>0.84722222222222165</v>
      </c>
      <c r="S68" s="10">
        <f ca="1">IF(ROW($N68)-4&lt;BB_Periods, "", _xlfn.STDEV.S(INDIRECT(ADDRESS(ROW($F68)-RSI_Periods +1, MATCH("Adj Close", Price_Header,0))): INDIRECT(ADDRESS(ROW($F68),MATCH("Adj Close", Price_Header,0)))))</f>
        <v>1.5213845631565313</v>
      </c>
    </row>
    <row r="69" spans="1:19" x14ac:dyDescent="0.35">
      <c r="A69" s="8">
        <v>44144</v>
      </c>
      <c r="B69">
        <v>20.2</v>
      </c>
      <c r="C69">
        <v>20.7</v>
      </c>
      <c r="D69">
        <v>18.57</v>
      </c>
      <c r="E69">
        <v>18.63</v>
      </c>
      <c r="F69">
        <v>18.63</v>
      </c>
      <c r="G69">
        <v>13140900</v>
      </c>
      <c r="H69" s="10">
        <f>IF(tbl_NKLA[[#This Row],[Date]]=$A$5, $F69, EMA_Beta*$H68 + (1-EMA_Beta)*$F69)</f>
        <v>20.660916397855477</v>
      </c>
      <c r="I69" s="46">
        <f ca="1">IF(tbl_NKLA[[#This Row],[RS]]= "", "", 100-(100/(1+tbl_NKLA[[#This Row],[RS]])))</f>
        <v>40.776699029126206</v>
      </c>
      <c r="J69" s="10">
        <f ca="1">IF(ROW($N69)-4&lt;BB_Periods, "", AVERAGE(INDIRECT(ADDRESS(ROW($F69)-RSI_Periods +1, MATCH("Adj Close", Price_Header,0))): INDIRECT(ADDRESS(ROW($F69),MATCH("Adj Close", Price_Header,0)))))</f>
        <v>20.114999999999998</v>
      </c>
      <c r="K69" s="10">
        <f ca="1">IF(tbl_NKLA[[#This Row],[BB_Mean]]="", "", tbl_NKLA[[#This Row],[BB_Mean]]+(BB_Width*tbl_NKLA[[#This Row],[BB_Stdev]]))</f>
        <v>23.264659322236906</v>
      </c>
      <c r="L69" s="10">
        <f ca="1">IF(tbl_NKLA[[#This Row],[BB_Mean]]="", "", tbl_NKLA[[#This Row],[BB_Mean]]-(BB_Width*tbl_NKLA[[#This Row],[BB_Stdev]]))</f>
        <v>16.965340677763091</v>
      </c>
      <c r="M69" s="46">
        <f>IF(ROW(tbl_NKLA[[#This Row],[Adj Close]])=5, 0, $F69-$F68)</f>
        <v>-0.94999999999999929</v>
      </c>
      <c r="N69" s="46">
        <f>MAX(tbl_NKLA[[#This Row],[Move]],0)</f>
        <v>0</v>
      </c>
      <c r="O69" s="46">
        <f>MAX(-tbl_NKLA[[#This Row],[Move]],0)</f>
        <v>0.94999999999999929</v>
      </c>
      <c r="P69" s="46">
        <f ca="1">IF(ROW($N69)-5&lt;RSI_Periods, "", AVERAGE(INDIRECT(ADDRESS(ROW($N69)-RSI_Periods +1, MATCH("Upmove", Price_Header,0))): INDIRECT(ADDRESS(ROW($N69),MATCH("Upmove", Price_Header,0)))))</f>
        <v>0.32999999999999979</v>
      </c>
      <c r="Q69" s="46">
        <f ca="1">IF(ROW($O69)-5&lt;RSI_Periods, "", AVERAGE(INDIRECT(ADDRESS(ROW($O69)-RSI_Periods +1, MATCH("Downmove", Price_Header,0))): INDIRECT(ADDRESS(ROW($O69),MATCH("Downmove", Price_Header,0)))))</f>
        <v>0.47928571428571409</v>
      </c>
      <c r="R69" s="46">
        <f ca="1">IF(tbl_NKLA[[#This Row],[Avg_Upmove]]="", "", tbl_NKLA[[#This Row],[Avg_Upmove]]/tbl_NKLA[[#This Row],[Avg_Downmove]])</f>
        <v>0.6885245901639343</v>
      </c>
      <c r="S69" s="10">
        <f ca="1">IF(ROW($N69)-4&lt;BB_Periods, "", _xlfn.STDEV.S(INDIRECT(ADDRESS(ROW($F69)-RSI_Periods +1, MATCH("Adj Close", Price_Header,0))): INDIRECT(ADDRESS(ROW($F69),MATCH("Adj Close", Price_Header,0)))))</f>
        <v>1.5748296611184529</v>
      </c>
    </row>
    <row r="70" spans="1:19" x14ac:dyDescent="0.35">
      <c r="A70" s="8">
        <v>44145</v>
      </c>
      <c r="B70">
        <v>18.88</v>
      </c>
      <c r="C70">
        <v>18.940000000000001</v>
      </c>
      <c r="D70">
        <v>17.59</v>
      </c>
      <c r="E70">
        <v>18.03</v>
      </c>
      <c r="F70">
        <v>18.03</v>
      </c>
      <c r="G70">
        <v>13357000</v>
      </c>
      <c r="H70" s="10">
        <f>IF(tbl_NKLA[[#This Row],[Date]]=$A$5, $F70, EMA_Beta*$H69 + (1-EMA_Beta)*$F70)</f>
        <v>20.39782475806993</v>
      </c>
      <c r="I70" s="46">
        <f ca="1">IF(tbl_NKLA[[#This Row],[RS]]= "", "", 100-(100/(1+tbl_NKLA[[#This Row],[RS]])))</f>
        <v>29.779058597502399</v>
      </c>
      <c r="J70" s="10">
        <f ca="1">IF(ROW($N70)-4&lt;BB_Periods, "", AVERAGE(INDIRECT(ADDRESS(ROW($F70)-RSI_Periods +1, MATCH("Adj Close", Price_Header,0))): INDIRECT(ADDRESS(ROW($F70),MATCH("Adj Close", Price_Header,0)))))</f>
        <v>19.814285714285713</v>
      </c>
      <c r="K70" s="10">
        <f ca="1">IF(tbl_NKLA[[#This Row],[BB_Mean]]="", "", tbl_NKLA[[#This Row],[BB_Mean]]+(BB_Width*tbl_NKLA[[#This Row],[BB_Stdev]]))</f>
        <v>22.893083824295168</v>
      </c>
      <c r="L70" s="10">
        <f ca="1">IF(tbl_NKLA[[#This Row],[BB_Mean]]="", "", tbl_NKLA[[#This Row],[BB_Mean]]-(BB_Width*tbl_NKLA[[#This Row],[BB_Stdev]]))</f>
        <v>16.735487604276258</v>
      </c>
      <c r="M70" s="46">
        <f>IF(ROW(tbl_NKLA[[#This Row],[Adj Close]])=5, 0, $F70-$F69)</f>
        <v>-0.59999999999999787</v>
      </c>
      <c r="N70" s="46">
        <f>MAX(tbl_NKLA[[#This Row],[Move]],0)</f>
        <v>0</v>
      </c>
      <c r="O70" s="46">
        <f>MAX(-tbl_NKLA[[#This Row],[Move]],0)</f>
        <v>0.59999999999999787</v>
      </c>
      <c r="P70" s="46">
        <f ca="1">IF(ROW($N70)-5&lt;RSI_Periods, "", AVERAGE(INDIRECT(ADDRESS(ROW($N70)-RSI_Periods +1, MATCH("Upmove", Price_Header,0))): INDIRECT(ADDRESS(ROW($N70),MATCH("Upmove", Price_Header,0)))))</f>
        <v>0.22142857142857128</v>
      </c>
      <c r="Q70" s="46">
        <f ca="1">IF(ROW($O70)-5&lt;RSI_Periods, "", AVERAGE(INDIRECT(ADDRESS(ROW($O70)-RSI_Periods +1, MATCH("Downmove", Price_Header,0))): INDIRECT(ADDRESS(ROW($O70),MATCH("Downmove", Price_Header,0)))))</f>
        <v>0.5221428571428568</v>
      </c>
      <c r="R70" s="46">
        <f ca="1">IF(tbl_NKLA[[#This Row],[Avg_Upmove]]="", "", tbl_NKLA[[#This Row],[Avg_Upmove]]/tbl_NKLA[[#This Row],[Avg_Downmove]])</f>
        <v>0.42407660738714092</v>
      </c>
      <c r="S70" s="10">
        <f ca="1">IF(ROW($N70)-4&lt;BB_Periods, "", _xlfn.STDEV.S(INDIRECT(ADDRESS(ROW($F70)-RSI_Periods +1, MATCH("Adj Close", Price_Header,0))): INDIRECT(ADDRESS(ROW($F70),MATCH("Adj Close", Price_Header,0)))))</f>
        <v>1.5393990550047281</v>
      </c>
    </row>
    <row r="71" spans="1:19" x14ac:dyDescent="0.35">
      <c r="A71" s="8">
        <v>44146</v>
      </c>
      <c r="B71">
        <v>18.239999999999998</v>
      </c>
      <c r="C71">
        <v>21.19</v>
      </c>
      <c r="D71">
        <v>18.02</v>
      </c>
      <c r="E71">
        <v>20.18</v>
      </c>
      <c r="F71">
        <v>20.18</v>
      </c>
      <c r="G71">
        <v>20552000</v>
      </c>
      <c r="H71" s="10">
        <f>IF(tbl_NKLA[[#This Row],[Date]]=$A$5, $F71, EMA_Beta*$H70 + (1-EMA_Beta)*$F71)</f>
        <v>20.37604228226294</v>
      </c>
      <c r="I71" s="46">
        <f ca="1">IF(tbl_NKLA[[#This Row],[RS]]= "", "", 100-(100/(1+tbl_NKLA[[#This Row],[RS]])))</f>
        <v>39.48675496688741</v>
      </c>
      <c r="J71" s="10">
        <f ca="1">IF(ROW($N71)-4&lt;BB_Periods, "", AVERAGE(INDIRECT(ADDRESS(ROW($F71)-RSI_Periods +1, MATCH("Adj Close", Price_Header,0))): INDIRECT(ADDRESS(ROW($F71),MATCH("Adj Close", Price_Header,0)))))</f>
        <v>19.632857142857141</v>
      </c>
      <c r="K71" s="10">
        <f ca="1">IF(tbl_NKLA[[#This Row],[BB_Mean]]="", "", tbl_NKLA[[#This Row],[BB_Mean]]+(BB_Width*tbl_NKLA[[#This Row],[BB_Stdev]]))</f>
        <v>22.236788236964113</v>
      </c>
      <c r="L71" s="10">
        <f ca="1">IF(tbl_NKLA[[#This Row],[BB_Mean]]="", "", tbl_NKLA[[#This Row],[BB_Mean]]-(BB_Width*tbl_NKLA[[#This Row],[BB_Stdev]]))</f>
        <v>17.028926048750169</v>
      </c>
      <c r="M71" s="46">
        <f>IF(ROW(tbl_NKLA[[#This Row],[Adj Close]])=5, 0, $F71-$F70)</f>
        <v>2.1499999999999986</v>
      </c>
      <c r="N71" s="46">
        <f>MAX(tbl_NKLA[[#This Row],[Move]],0)</f>
        <v>2.1499999999999986</v>
      </c>
      <c r="O71" s="46">
        <f>MAX(-tbl_NKLA[[#This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0.34071428571428541</v>
      </c>
      <c r="Q71" s="46">
        <f ca="1">IF(ROW($O71)-5&lt;RSI_Periods, "", AVERAGE(INDIRECT(ADDRESS(ROW($O71)-RSI_Periods +1, MATCH("Downmove", Price_Header,0))): INDIRECT(ADDRESS(ROW($O71),MATCH("Downmove", Price_Header,0)))))</f>
        <v>0.5221428571428568</v>
      </c>
      <c r="R71" s="46">
        <f ca="1">IF(tbl_NKLA[[#This Row],[Avg_Upmove]]="", "", tbl_NKLA[[#This Row],[Avg_Upmove]]/tbl_NKLA[[#This Row],[Avg_Downmove]])</f>
        <v>0.65253077975376184</v>
      </c>
      <c r="S71" s="10">
        <f ca="1">IF(ROW($N71)-4&lt;BB_Periods, "", _xlfn.STDEV.S(INDIRECT(ADDRESS(ROW($F71)-RSI_Periods +1, MATCH("Adj Close", Price_Header,0))): INDIRECT(ADDRESS(ROW($F71),MATCH("Adj Close", Price_Header,0)))))</f>
        <v>1.3019655470534868</v>
      </c>
    </row>
    <row r="72" spans="1:19" x14ac:dyDescent="0.35">
      <c r="A72" s="8">
        <v>44147</v>
      </c>
      <c r="B72">
        <v>19.93</v>
      </c>
      <c r="C72">
        <v>20.399999999999999</v>
      </c>
      <c r="D72">
        <v>19.11</v>
      </c>
      <c r="E72">
        <v>19.57</v>
      </c>
      <c r="F72">
        <v>19.57</v>
      </c>
      <c r="G72">
        <v>9412100</v>
      </c>
      <c r="H72" s="10">
        <f>IF(tbl_NKLA[[#This Row],[Date]]=$A$5, $F72, EMA_Beta*$H71 + (1-EMA_Beta)*$F72)</f>
        <v>20.295438054036648</v>
      </c>
      <c r="I72" s="46">
        <f ca="1">IF(tbl_NKLA[[#This Row],[RS]]= "", "", 100-(100/(1+tbl_NKLA[[#This Row],[RS]])))</f>
        <v>38.129496402877692</v>
      </c>
      <c r="J72" s="10">
        <f ca="1">IF(ROW($N72)-4&lt;BB_Periods, "", AVERAGE(INDIRECT(ADDRESS(ROW($F72)-RSI_Periods +1, MATCH("Adj Close", Price_Header,0))): INDIRECT(ADDRESS(ROW($F72),MATCH("Adj Close", Price_Header,0)))))</f>
        <v>19.420714285714286</v>
      </c>
      <c r="K72" s="10">
        <f ca="1">IF(tbl_NKLA[[#This Row],[BB_Mean]]="", "", tbl_NKLA[[#This Row],[BB_Mean]]+(BB_Width*tbl_NKLA[[#This Row],[BB_Stdev]]))</f>
        <v>21.417549694142245</v>
      </c>
      <c r="L72" s="10">
        <f ca="1">IF(tbl_NKLA[[#This Row],[BB_Mean]]="", "", tbl_NKLA[[#This Row],[BB_Mean]]-(BB_Width*tbl_NKLA[[#This Row],[BB_Stdev]]))</f>
        <v>17.423878877286327</v>
      </c>
      <c r="M72" s="46">
        <f>IF(ROW(tbl_NKLA[[#This Row],[Adj Close]])=5, 0, $F72-$F71)</f>
        <v>-0.60999999999999943</v>
      </c>
      <c r="N72" s="46">
        <f>MAX(tbl_NKLA[[#This Row],[Move]],0)</f>
        <v>0</v>
      </c>
      <c r="O72" s="46">
        <f>MAX(-tbl_NKLA[[#This Row],[Move]],0)</f>
        <v>0.60999999999999943</v>
      </c>
      <c r="P72" s="46">
        <f ca="1">IF(ROW($N72)-5&lt;RSI_Periods, "", AVERAGE(INDIRECT(ADDRESS(ROW($N72)-RSI_Periods +1, MATCH("Upmove", Price_Header,0))): INDIRECT(ADDRESS(ROW($N72),MATCH("Upmove", Price_Header,0)))))</f>
        <v>0.34071428571428541</v>
      </c>
      <c r="Q72" s="46">
        <f ca="1">IF(ROW($O72)-5&lt;RSI_Periods, "", AVERAGE(INDIRECT(ADDRESS(ROW($O72)-RSI_Periods +1, MATCH("Downmove", Price_Header,0))): INDIRECT(ADDRESS(ROW($O72),MATCH("Downmove", Price_Header,0)))))</f>
        <v>0.55285714285714249</v>
      </c>
      <c r="R72" s="46">
        <f ca="1">IF(tbl_NKLA[[#This Row],[Avg_Upmove]]="", "", tbl_NKLA[[#This Row],[Avg_Upmove]]/tbl_NKLA[[#This Row],[Avg_Downmove]])</f>
        <v>0.61627906976744173</v>
      </c>
      <c r="S72" s="10">
        <f ca="1">IF(ROW($N72)-4&lt;BB_Periods, "", _xlfn.STDEV.S(INDIRECT(ADDRESS(ROW($F72)-RSI_Periods +1, MATCH("Adj Close", Price_Header,0))): INDIRECT(ADDRESS(ROW($F72),MATCH("Adj Close", Price_Header,0)))))</f>
        <v>0.9984177042139788</v>
      </c>
    </row>
    <row r="73" spans="1:19" x14ac:dyDescent="0.35">
      <c r="A73" s="8">
        <v>44148</v>
      </c>
      <c r="B73">
        <v>19.850000000000001</v>
      </c>
      <c r="C73">
        <v>21.87</v>
      </c>
      <c r="D73">
        <v>19.32</v>
      </c>
      <c r="E73">
        <v>21.18</v>
      </c>
      <c r="F73">
        <v>21.18</v>
      </c>
      <c r="G73">
        <v>17167300</v>
      </c>
      <c r="H73" s="10">
        <f>IF(tbl_NKLA[[#This Row],[Date]]=$A$5, $F73, EMA_Beta*$H72 + (1-EMA_Beta)*$F73)</f>
        <v>20.383894248632981</v>
      </c>
      <c r="I73" s="46">
        <f ca="1">IF(tbl_NKLA[[#This Row],[RS]]= "", "", 100-(100/(1+tbl_NKLA[[#This Row],[RS]])))</f>
        <v>51.080864691753398</v>
      </c>
      <c r="J73" s="10">
        <f ca="1">IF(ROW($N73)-4&lt;BB_Periods, "", AVERAGE(INDIRECT(ADDRESS(ROW($F73)-RSI_Periods +1, MATCH("Adj Close", Price_Header,0))): INDIRECT(ADDRESS(ROW($F73),MATCH("Adj Close", Price_Header,0)))))</f>
        <v>19.439999999999998</v>
      </c>
      <c r="K73" s="10">
        <f ca="1">IF(tbl_NKLA[[#This Row],[BB_Mean]]="", "", tbl_NKLA[[#This Row],[BB_Mean]]+(BB_Width*tbl_NKLA[[#This Row],[BB_Stdev]]))</f>
        <v>21.502918022906087</v>
      </c>
      <c r="L73" s="10">
        <f ca="1">IF(tbl_NKLA[[#This Row],[BB_Mean]]="", "", tbl_NKLA[[#This Row],[BB_Mean]]-(BB_Width*tbl_NKLA[[#This Row],[BB_Stdev]]))</f>
        <v>17.377081977093908</v>
      </c>
      <c r="M73" s="46">
        <f>IF(ROW(tbl_NKLA[[#This Row],[Adj Close]])=5, 0, $F73-$F72)</f>
        <v>1.6099999999999994</v>
      </c>
      <c r="N73" s="46">
        <f>MAX(tbl_NKLA[[#This Row],[Move]],0)</f>
        <v>1.6099999999999994</v>
      </c>
      <c r="O73" s="46">
        <f>MAX(-tbl_NKLA[[#This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0.45571428571428541</v>
      </c>
      <c r="Q73" s="46">
        <f ca="1">IF(ROW($O73)-5&lt;RSI_Periods, "", AVERAGE(INDIRECT(ADDRESS(ROW($O73)-RSI_Periods +1, MATCH("Downmove", Price_Header,0))): INDIRECT(ADDRESS(ROW($O73),MATCH("Downmove", Price_Header,0)))))</f>
        <v>0.43642857142857111</v>
      </c>
      <c r="R73" s="46">
        <f ca="1">IF(tbl_NKLA[[#This Row],[Avg_Upmove]]="", "", tbl_NKLA[[#This Row],[Avg_Upmove]]/tbl_NKLA[[#This Row],[Avg_Downmove]])</f>
        <v>1.0441898527004911</v>
      </c>
      <c r="S73" s="10">
        <f ca="1">IF(ROW($N73)-4&lt;BB_Periods, "", _xlfn.STDEV.S(INDIRECT(ADDRESS(ROW($F73)-RSI_Periods +1, MATCH("Adj Close", Price_Header,0))): INDIRECT(ADDRESS(ROW($F73),MATCH("Adj Close", Price_Header,0)))))</f>
        <v>1.0314590114530449</v>
      </c>
    </row>
    <row r="74" spans="1:19" x14ac:dyDescent="0.35">
      <c r="A74" t="s">
        <v>162</v>
      </c>
      <c r="H74" s="61"/>
      <c r="J74" s="61"/>
      <c r="K74" s="61"/>
      <c r="L74" s="61"/>
      <c r="S74" s="61">
        <f ca="1">SUBTOTAL(103,tbl_NKLA[BB_Stdev])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74"/>
  <sheetViews>
    <sheetView topLeftCell="B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3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3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3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3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3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3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3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3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3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3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3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3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3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3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3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3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3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3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3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3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3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3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3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3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3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3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35">
      <c r="A45" s="8">
        <v>44110</v>
      </c>
      <c r="B45" s="10">
        <v>5.5</v>
      </c>
      <c r="C45" s="10">
        <v>5.77</v>
      </c>
      <c r="D45" s="10">
        <v>5.39</v>
      </c>
      <c r="E45" s="10">
        <v>5.75</v>
      </c>
      <c r="F45" s="10">
        <v>5.75</v>
      </c>
      <c r="G45">
        <v>36321000</v>
      </c>
      <c r="H45" s="10">
        <f>IF(tbl_SPXS[[#This Row],[Date]]=$A$5, $F45, EMA_Beta*$H44 + (1-EMA_Beta)*$F45)</f>
        <v>5.8325513246647489</v>
      </c>
      <c r="I45" s="46">
        <f ca="1">IF(tbl_SPXS[[#This Row],[RS]]= "", "", 100-(100/(1+tbl_SPXS[[#This Row],[RS]])))</f>
        <v>50.865051903114193</v>
      </c>
      <c r="J45" s="10">
        <f ca="1">IF(ROW($N45)-4&lt;BB_Periods, "", AVERAGE(INDIRECT(ADDRESS(ROW($F45)-RSI_Periods +1, MATCH("Adj Close", Price_Header,0))): INDIRECT(ADDRESS(ROW($F45),MATCH("Adj Close", Price_Header,0)))))</f>
        <v>5.95857142857143</v>
      </c>
      <c r="K45" s="10">
        <f ca="1">IF(tbl_SPXS[[#This Row],[BB_Mean]]="", "", tbl_SPXS[[#This Row],[BB_Mean]]+(BB_Width*tbl_SPXS[[#This Row],[BB_Stdev]]))</f>
        <v>6.5233781153294688</v>
      </c>
      <c r="L45" s="10">
        <f ca="1">IF(tbl_SPXS[[#This Row],[BB_Mean]]="", "", tbl_SPXS[[#This Row],[BB_Mean]]-(BB_Width*tbl_SPXS[[#This Row],[BB_Stdev]]))</f>
        <v>5.3937647418133912</v>
      </c>
      <c r="M45" s="46">
        <f>IF(ROW(tbl_SPXS[[#This Row],[Adj Close]])=5, 0, $F45-$F44)</f>
        <v>0.24000000000000021</v>
      </c>
      <c r="N45" s="46">
        <f>MAX(tbl_SPXS[[#This Row],[Move]],0)</f>
        <v>0.24000000000000021</v>
      </c>
      <c r="O45" s="46">
        <f>MAX(-tbl_SPXS[[#This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0.10500000000000005</v>
      </c>
      <c r="Q45" s="46">
        <f ca="1">IF(ROW($O45)-5&lt;RSI_Periods, "", AVERAGE(INDIRECT(ADDRESS(ROW($O45)-RSI_Periods +1, MATCH("Downmove", Price_Header,0))): INDIRECT(ADDRESS(ROW($O45),MATCH("Downmove", Price_Header,0)))))</f>
        <v>0.10142857142857149</v>
      </c>
      <c r="R45" s="46">
        <f ca="1">IF(tbl_SPXS[[#This Row],[Avg_Upmove]]="", "", tbl_SPXS[[#This Row],[Avg_Upmove]]/tbl_SPXS[[#This Row],[Avg_Downmove]])</f>
        <v>1.0352112676056338</v>
      </c>
      <c r="S45" s="10">
        <f ca="1">IF(ROW($N45)-4&lt;BB_Periods, "", _xlfn.STDEV.S(INDIRECT(ADDRESS(ROW($F45)-RSI_Periods +1, MATCH("Adj Close", Price_Header,0))): INDIRECT(ADDRESS(ROW($F45),MATCH("Adj Close", Price_Header,0)))))</f>
        <v>0.28240334337901957</v>
      </c>
    </row>
    <row r="46" spans="1:19" x14ac:dyDescent="0.35">
      <c r="A46" s="8">
        <v>44111</v>
      </c>
      <c r="B46" s="10">
        <v>5.58</v>
      </c>
      <c r="C46" s="10">
        <v>5.59</v>
      </c>
      <c r="D46" s="10">
        <v>5.4</v>
      </c>
      <c r="E46" s="10">
        <v>5.44</v>
      </c>
      <c r="F46" s="10">
        <v>5.44</v>
      </c>
      <c r="G46">
        <v>27016400</v>
      </c>
      <c r="H46" s="10">
        <f>IF(tbl_SPXS[[#This Row],[Date]]=$A$5, $F46, EMA_Beta*$H45 + (1-EMA_Beta)*$F46)</f>
        <v>5.793296192198274</v>
      </c>
      <c r="I46" s="46">
        <f ca="1">IF(tbl_SPXS[[#This Row],[RS]]= "", "", 100-(100/(1+tbl_SPXS[[#This Row],[RS]])))</f>
        <v>43.278688524590187</v>
      </c>
      <c r="J46" s="10">
        <f ca="1">IF(ROW($N46)-4&lt;BB_Periods, "", AVERAGE(INDIRECT(ADDRESS(ROW($F46)-RSI_Periods +1, MATCH("Adj Close", Price_Header,0))): INDIRECT(ADDRESS(ROW($F46),MATCH("Adj Close", Price_Header,0)))))</f>
        <v>5.9292857142857143</v>
      </c>
      <c r="K46" s="10">
        <f ca="1">IF(tbl_SPXS[[#This Row],[BB_Mean]]="", "", tbl_SPXS[[#This Row],[BB_Mean]]+(BB_Width*tbl_SPXS[[#This Row],[BB_Stdev]]))</f>
        <v>6.5573212000893202</v>
      </c>
      <c r="L46" s="10">
        <f ca="1">IF(tbl_SPXS[[#This Row],[BB_Mean]]="", "", tbl_SPXS[[#This Row],[BB_Mean]]-(BB_Width*tbl_SPXS[[#This Row],[BB_Stdev]]))</f>
        <v>5.3012502284821084</v>
      </c>
      <c r="M46" s="46">
        <f>IF(ROW(tbl_SPXS[[#This Row],[Adj Close]])=5, 0, $F46-$F45)</f>
        <v>-0.30999999999999961</v>
      </c>
      <c r="N46" s="46">
        <f>MAX(tbl_SPXS[[#This Row],[Move]],0)</f>
        <v>0</v>
      </c>
      <c r="O46" s="46">
        <f>MAX(-tbl_SPXS[[#This Row],[Move]],0)</f>
        <v>0.30999999999999961</v>
      </c>
      <c r="P46" s="46">
        <f ca="1">IF(ROW($N46)-5&lt;RSI_Periods, "", AVERAGE(INDIRECT(ADDRESS(ROW($N46)-RSI_Periods +1, MATCH("Upmove", Price_Header,0))): INDIRECT(ADDRESS(ROW($N46),MATCH("Upmove", Price_Header,0)))))</f>
        <v>9.4285714285714375E-2</v>
      </c>
      <c r="Q46" s="46">
        <f ca="1">IF(ROW($O46)-5&lt;RSI_Periods, "", AVERAGE(INDIRECT(ADDRESS(ROW($O46)-RSI_Periods +1, MATCH("Downmove", Price_Header,0))): INDIRECT(ADDRESS(ROW($O46),MATCH("Downmove", Price_Header,0)))))</f>
        <v>0.1235714285714286</v>
      </c>
      <c r="R46" s="46">
        <f ca="1">IF(tbl_SPXS[[#This Row],[Avg_Upmove]]="", "", tbl_SPXS[[#This Row],[Avg_Upmove]]/tbl_SPXS[[#This Row],[Avg_Downmove]])</f>
        <v>0.76300578034682143</v>
      </c>
      <c r="S46" s="10">
        <f ca="1">IF(ROW($N46)-4&lt;BB_Periods, "", _xlfn.STDEV.S(INDIRECT(ADDRESS(ROW($F46)-RSI_Periods +1, MATCH("Adj Close", Price_Header,0))): INDIRECT(ADDRESS(ROW($F46),MATCH("Adj Close", Price_Header,0)))))</f>
        <v>0.31401774290180307</v>
      </c>
    </row>
    <row r="47" spans="1:19" x14ac:dyDescent="0.35">
      <c r="A47" s="8">
        <v>44112</v>
      </c>
      <c r="B47" s="10">
        <v>5.33</v>
      </c>
      <c r="C47" s="10">
        <v>5.39</v>
      </c>
      <c r="D47" s="10">
        <v>5.29</v>
      </c>
      <c r="E47" s="10">
        <v>5.29</v>
      </c>
      <c r="F47" s="10">
        <v>5.29</v>
      </c>
      <c r="G47">
        <v>18157700</v>
      </c>
      <c r="H47" s="10">
        <f>IF(tbl_SPXS[[#This Row],[Date]]=$A$5, $F47, EMA_Beta*$H46 + (1-EMA_Beta)*$F47)</f>
        <v>5.7429665729784469</v>
      </c>
      <c r="I47" s="46">
        <f ca="1">IF(tbl_SPXS[[#This Row],[RS]]= "", "", 100-(100/(1+tbl_SPXS[[#This Row],[RS]])))</f>
        <v>37.33333333333335</v>
      </c>
      <c r="J47" s="10">
        <f ca="1">IF(ROW($N47)-4&lt;BB_Periods, "", AVERAGE(INDIRECT(ADDRESS(ROW($F47)-RSI_Periods +1, MATCH("Adj Close", Price_Header,0))): INDIRECT(ADDRESS(ROW($F47),MATCH("Adj Close", Price_Header,0)))))</f>
        <v>5.8750000000000009</v>
      </c>
      <c r="K47" s="10">
        <f ca="1">IF(tbl_SPXS[[#This Row],[BB_Mean]]="", "", tbl_SPXS[[#This Row],[BB_Mean]]+(BB_Width*tbl_SPXS[[#This Row],[BB_Stdev]]))</f>
        <v>6.5842249290598867</v>
      </c>
      <c r="L47" s="10">
        <f ca="1">IF(tbl_SPXS[[#This Row],[BB_Mean]]="", "", tbl_SPXS[[#This Row],[BB_Mean]]-(BB_Width*tbl_SPXS[[#This Row],[BB_Stdev]]))</f>
        <v>5.1657750709401151</v>
      </c>
      <c r="M47" s="46">
        <f>IF(ROW(tbl_SPXS[[#This Row],[Adj Close]])=5, 0, $F47-$F46)</f>
        <v>-0.15000000000000036</v>
      </c>
      <c r="N47" s="46">
        <f>MAX(tbl_SPXS[[#This Row],[Move]],0)</f>
        <v>0</v>
      </c>
      <c r="O47" s="46">
        <f>MAX(-tbl_SPXS[[#This Row],[Move]],0)</f>
        <v>0.15000000000000036</v>
      </c>
      <c r="P47" s="46">
        <f ca="1">IF(ROW($N47)-5&lt;RSI_Periods, "", AVERAGE(INDIRECT(ADDRESS(ROW($N47)-RSI_Periods +1, MATCH("Upmove", Price_Header,0))): INDIRECT(ADDRESS(ROW($N47),MATCH("Upmove", Price_Header,0)))))</f>
        <v>8.0000000000000071E-2</v>
      </c>
      <c r="Q47" s="46">
        <f ca="1">IF(ROW($O47)-5&lt;RSI_Periods, "", AVERAGE(INDIRECT(ADDRESS(ROW($O47)-RSI_Periods +1, MATCH("Downmove", Price_Header,0))): INDIRECT(ADDRESS(ROW($O47),MATCH("Downmove", Price_Header,0)))))</f>
        <v>0.13428571428571434</v>
      </c>
      <c r="R47" s="46">
        <f ca="1">IF(tbl_SPXS[[#This Row],[Avg_Upmove]]="", "", tbl_SPXS[[#This Row],[Avg_Upmove]]/tbl_SPXS[[#This Row],[Avg_Downmove]])</f>
        <v>0.59574468085106413</v>
      </c>
      <c r="S47" s="10">
        <f ca="1">IF(ROW($N47)-4&lt;BB_Periods, "", _xlfn.STDEV.S(INDIRECT(ADDRESS(ROW($F47)-RSI_Periods +1, MATCH("Adj Close", Price_Header,0))): INDIRECT(ADDRESS(ROW($F47),MATCH("Adj Close", Price_Header,0)))))</f>
        <v>0.35461246452994288</v>
      </c>
    </row>
    <row r="48" spans="1:19" x14ac:dyDescent="0.35">
      <c r="A48" s="8">
        <v>44113</v>
      </c>
      <c r="B48" s="10">
        <v>5.21</v>
      </c>
      <c r="C48" s="10">
        <v>5.25</v>
      </c>
      <c r="D48" s="10">
        <v>5.13</v>
      </c>
      <c r="E48" s="10">
        <v>5.15</v>
      </c>
      <c r="F48" s="10">
        <v>5.15</v>
      </c>
      <c r="G48">
        <v>18778200</v>
      </c>
      <c r="H48" s="10">
        <f>IF(tbl_SPXS[[#This Row],[Date]]=$A$5, $F48, EMA_Beta*$H47 + (1-EMA_Beta)*$F48)</f>
        <v>5.6836699156806016</v>
      </c>
      <c r="I48" s="46">
        <f ca="1">IF(tbl_SPXS[[#This Row],[RS]]= "", "", 100-(100/(1+tbl_SPXS[[#This Row],[RS]])))</f>
        <v>31.058020477815717</v>
      </c>
      <c r="J48" s="10">
        <f ca="1">IF(ROW($N48)-4&lt;BB_Periods, "", AVERAGE(INDIRECT(ADDRESS(ROW($F48)-RSI_Periods +1, MATCH("Adj Close", Price_Header,0))): INDIRECT(ADDRESS(ROW($F48),MATCH("Adj Close", Price_Header,0)))))</f>
        <v>5.7957142857142854</v>
      </c>
      <c r="K48" s="10">
        <f ca="1">IF(tbl_SPXS[[#This Row],[BB_Mean]]="", "", tbl_SPXS[[#This Row],[BB_Mean]]+(BB_Width*tbl_SPXS[[#This Row],[BB_Stdev]]))</f>
        <v>6.5651582122248247</v>
      </c>
      <c r="L48" s="10">
        <f ca="1">IF(tbl_SPXS[[#This Row],[BB_Mean]]="", "", tbl_SPXS[[#This Row],[BB_Mean]]-(BB_Width*tbl_SPXS[[#This Row],[BB_Stdev]]))</f>
        <v>5.0262703592037461</v>
      </c>
      <c r="M48" s="46">
        <f>IF(ROW(tbl_SPXS[[#This Row],[Adj Close]])=5, 0, $F48-$F47)</f>
        <v>-0.13999999999999968</v>
      </c>
      <c r="N48" s="46">
        <f>MAX(tbl_SPXS[[#This Row],[Move]],0)</f>
        <v>0</v>
      </c>
      <c r="O48" s="46">
        <f>MAX(-tbl_SPXS[[#This Row],[Move]],0)</f>
        <v>0.13999999999999968</v>
      </c>
      <c r="P48" s="46">
        <f ca="1">IF(ROW($N48)-5&lt;RSI_Periods, "", AVERAGE(INDIRECT(ADDRESS(ROW($N48)-RSI_Periods +1, MATCH("Upmove", Price_Header,0))): INDIRECT(ADDRESS(ROW($N48),MATCH("Upmove", Price_Header,0)))))</f>
        <v>6.5000000000000072E-2</v>
      </c>
      <c r="Q48" s="46">
        <f ca="1">IF(ROW($O48)-5&lt;RSI_Periods, "", AVERAGE(INDIRECT(ADDRESS(ROW($O48)-RSI_Periods +1, MATCH("Downmove", Price_Header,0))): INDIRECT(ADDRESS(ROW($O48),MATCH("Downmove", Price_Header,0)))))</f>
        <v>0.14428571428571432</v>
      </c>
      <c r="R48" s="46">
        <f ca="1">IF(tbl_SPXS[[#This Row],[Avg_Upmove]]="", "", tbl_SPXS[[#This Row],[Avg_Upmove]]/tbl_SPXS[[#This Row],[Avg_Downmove]])</f>
        <v>0.4504950495049509</v>
      </c>
      <c r="S48" s="10">
        <f ca="1">IF(ROW($N48)-4&lt;BB_Periods, "", _xlfn.STDEV.S(INDIRECT(ADDRESS(ROW($F48)-RSI_Periods +1, MATCH("Adj Close", Price_Header,0))): INDIRECT(ADDRESS(ROW($F48),MATCH("Adj Close", Price_Header,0)))))</f>
        <v>0.38472196325526953</v>
      </c>
    </row>
    <row r="49" spans="1:19" x14ac:dyDescent="0.35">
      <c r="A49" s="8">
        <v>44116</v>
      </c>
      <c r="B49" s="10">
        <v>5.03</v>
      </c>
      <c r="C49" s="10">
        <v>5.0599999999999996</v>
      </c>
      <c r="D49" s="10">
        <v>4.83</v>
      </c>
      <c r="E49" s="10">
        <v>4.9000000000000004</v>
      </c>
      <c r="F49" s="10">
        <v>4.9000000000000004</v>
      </c>
      <c r="G49">
        <v>31779400</v>
      </c>
      <c r="H49" s="10">
        <f>IF(tbl_SPXS[[#This Row],[Date]]=$A$5, $F49, EMA_Beta*$H48 + (1-EMA_Beta)*$F49)</f>
        <v>5.6053029241125421</v>
      </c>
      <c r="I49" s="46">
        <f ca="1">IF(tbl_SPXS[[#This Row],[RS]]= "", "", 100-(100/(1+tbl_SPXS[[#This Row],[RS]])))</f>
        <v>30.536912751677875</v>
      </c>
      <c r="J49" s="10">
        <f ca="1">IF(ROW($N49)-4&lt;BB_Periods, "", AVERAGE(INDIRECT(ADDRESS(ROW($F49)-RSI_Periods +1, MATCH("Adj Close", Price_Header,0))): INDIRECT(ADDRESS(ROW($F49),MATCH("Adj Close", Price_Header,0)))))</f>
        <v>5.7128571428571444</v>
      </c>
      <c r="K49" s="10">
        <f ca="1">IF(tbl_SPXS[[#This Row],[BB_Mean]]="", "", tbl_SPXS[[#This Row],[BB_Mean]]+(BB_Width*tbl_SPXS[[#This Row],[BB_Stdev]]))</f>
        <v>6.6004616483897367</v>
      </c>
      <c r="L49" s="10">
        <f ca="1">IF(tbl_SPXS[[#This Row],[BB_Mean]]="", "", tbl_SPXS[[#This Row],[BB_Mean]]-(BB_Width*tbl_SPXS[[#This Row],[BB_Stdev]]))</f>
        <v>4.8252526373245521</v>
      </c>
      <c r="M49" s="46">
        <f>IF(ROW(tbl_SPXS[[#This Row],[Adj Close]])=5, 0, $F49-$F48)</f>
        <v>-0.25</v>
      </c>
      <c r="N49" s="46">
        <f>MAX(tbl_SPXS[[#This Row],[Move]],0)</f>
        <v>0</v>
      </c>
      <c r="O49" s="46">
        <f>MAX(-tbl_SPXS[[#This Row],[Move]],0)</f>
        <v>0.25</v>
      </c>
      <c r="P49" s="46">
        <f ca="1">IF(ROW($N49)-5&lt;RSI_Periods, "", AVERAGE(INDIRECT(ADDRESS(ROW($N49)-RSI_Periods +1, MATCH("Upmove", Price_Header,0))): INDIRECT(ADDRESS(ROW($N49),MATCH("Upmove", Price_Header,0)))))</f>
        <v>6.5000000000000072E-2</v>
      </c>
      <c r="Q49" s="46">
        <f ca="1">IF(ROW($O49)-5&lt;RSI_Periods, "", AVERAGE(INDIRECT(ADDRESS(ROW($O49)-RSI_Periods +1, MATCH("Downmove", Price_Header,0))): INDIRECT(ADDRESS(ROW($O49),MATCH("Downmove", Price_Header,0)))))</f>
        <v>0.14785714285714288</v>
      </c>
      <c r="R49" s="46">
        <f ca="1">IF(tbl_SPXS[[#This Row],[Avg_Upmove]]="", "", tbl_SPXS[[#This Row],[Avg_Upmove]]/tbl_SPXS[[#This Row],[Avg_Downmove]])</f>
        <v>0.43961352657004871</v>
      </c>
      <c r="S49" s="10">
        <f ca="1">IF(ROW($N49)-4&lt;BB_Periods, "", _xlfn.STDEV.S(INDIRECT(ADDRESS(ROW($F49)-RSI_Periods +1, MATCH("Adj Close", Price_Header,0))): INDIRECT(ADDRESS(ROW($F49),MATCH("Adj Close", Price_Header,0)))))</f>
        <v>0.4438022527662962</v>
      </c>
    </row>
    <row r="50" spans="1:19" x14ac:dyDescent="0.35">
      <c r="A50" s="8">
        <v>44117</v>
      </c>
      <c r="B50" s="10">
        <v>4.92</v>
      </c>
      <c r="C50" s="10">
        <v>5.05</v>
      </c>
      <c r="D50" s="10">
        <v>4.91</v>
      </c>
      <c r="E50" s="10">
        <v>5.01</v>
      </c>
      <c r="F50" s="10">
        <v>5.01</v>
      </c>
      <c r="G50">
        <v>29948400</v>
      </c>
      <c r="H50" s="10">
        <f>IF(tbl_SPXS[[#This Row],[Date]]=$A$5, $F50, EMA_Beta*$H49 + (1-EMA_Beta)*$F50)</f>
        <v>5.5457726317012881</v>
      </c>
      <c r="I50" s="46">
        <f ca="1">IF(tbl_SPXS[[#This Row],[RS]]= "", "", 100-(100/(1+tbl_SPXS[[#This Row],[RS]])))</f>
        <v>22.471910112359538</v>
      </c>
      <c r="J50" s="10">
        <f ca="1">IF(ROW($N50)-4&lt;BB_Periods, "", AVERAGE(INDIRECT(ADDRESS(ROW($F50)-RSI_Periods +1, MATCH("Adj Close", Price_Header,0))): INDIRECT(ADDRESS(ROW($F50),MATCH("Adj Close", Price_Header,0)))))</f>
        <v>5.607857142857144</v>
      </c>
      <c r="K50" s="10">
        <f ca="1">IF(tbl_SPXS[[#This Row],[BB_Mean]]="", "", tbl_SPXS[[#This Row],[BB_Mean]]+(BB_Width*tbl_SPXS[[#This Row],[BB_Stdev]]))</f>
        <v>6.4512268882669064</v>
      </c>
      <c r="L50" s="10">
        <f ca="1">IF(tbl_SPXS[[#This Row],[BB_Mean]]="", "", tbl_SPXS[[#This Row],[BB_Mean]]-(BB_Width*tbl_SPXS[[#This Row],[BB_Stdev]]))</f>
        <v>4.7644873974473816</v>
      </c>
      <c r="M50" s="46">
        <f>IF(ROW(tbl_SPXS[[#This Row],[Adj Close]])=5, 0, $F50-$F49)</f>
        <v>0.10999999999999943</v>
      </c>
      <c r="N50" s="46">
        <f>MAX(tbl_SPXS[[#This Row],[Move]],0)</f>
        <v>0.10999999999999943</v>
      </c>
      <c r="O50" s="46">
        <f>MAX(-tbl_SPXS[[#This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4.285714285714283E-2</v>
      </c>
      <c r="Q50" s="46">
        <f ca="1">IF(ROW($O50)-5&lt;RSI_Periods, "", AVERAGE(INDIRECT(ADDRESS(ROW($O50)-RSI_Periods +1, MATCH("Downmove", Price_Header,0))): INDIRECT(ADDRESS(ROW($O50),MATCH("Downmove", Price_Header,0)))))</f>
        <v>0.14785714285714288</v>
      </c>
      <c r="R50" s="46">
        <f ca="1">IF(tbl_SPXS[[#This Row],[Avg_Upmove]]="", "", tbl_SPXS[[#This Row],[Avg_Upmove]]/tbl_SPXS[[#This Row],[Avg_Downmove]])</f>
        <v>0.2898550724637679</v>
      </c>
      <c r="S50" s="10">
        <f ca="1">IF(ROW($N50)-4&lt;BB_Periods, "", _xlfn.STDEV.S(INDIRECT(ADDRESS(ROW($F50)-RSI_Periods +1, MATCH("Adj Close", Price_Header,0))): INDIRECT(ADDRESS(ROW($F50),MATCH("Adj Close", Price_Header,0)))))</f>
        <v>0.42168487270488109</v>
      </c>
    </row>
    <row r="51" spans="1:19" x14ac:dyDescent="0.35">
      <c r="A51" s="8">
        <v>44118</v>
      </c>
      <c r="B51" s="10">
        <v>4.97</v>
      </c>
      <c r="C51" s="10">
        <v>5.13</v>
      </c>
      <c r="D51" s="10">
        <v>4.92</v>
      </c>
      <c r="E51" s="10">
        <v>5.09</v>
      </c>
      <c r="F51" s="10">
        <v>5.09</v>
      </c>
      <c r="G51">
        <v>32484200</v>
      </c>
      <c r="H51" s="10">
        <f>IF(tbl_SPXS[[#This Row],[Date]]=$A$5, $F51, EMA_Beta*$H50 + (1-EMA_Beta)*$F51)</f>
        <v>5.5001953685311591</v>
      </c>
      <c r="I51" s="46">
        <f ca="1">IF(tbl_SPXS[[#This Row],[RS]]= "", "", 100-(100/(1+tbl_SPXS[[#This Row],[RS]])))</f>
        <v>25.373134328358205</v>
      </c>
      <c r="J51" s="10">
        <f ca="1">IF(ROW($N51)-4&lt;BB_Periods, "", AVERAGE(INDIRECT(ADDRESS(ROW($F51)-RSI_Periods +1, MATCH("Adj Close", Price_Header,0))): INDIRECT(ADDRESS(ROW($F51),MATCH("Adj Close", Price_Header,0)))))</f>
        <v>5.5135714285714288</v>
      </c>
      <c r="K51" s="10">
        <f ca="1">IF(tbl_SPXS[[#This Row],[BB_Mean]]="", "", tbl_SPXS[[#This Row],[BB_Mean]]+(BB_Width*tbl_SPXS[[#This Row],[BB_Stdev]]))</f>
        <v>6.2602402210854091</v>
      </c>
      <c r="L51" s="10">
        <f ca="1">IF(tbl_SPXS[[#This Row],[BB_Mean]]="", "", tbl_SPXS[[#This Row],[BB_Mean]]-(BB_Width*tbl_SPXS[[#This Row],[BB_Stdev]]))</f>
        <v>4.7669026360574485</v>
      </c>
      <c r="M51" s="46">
        <f>IF(ROW(tbl_SPXS[[#This Row],[Adj Close]])=5, 0, $F51-$F50)</f>
        <v>8.0000000000000071E-2</v>
      </c>
      <c r="N51" s="46">
        <f>MAX(tbl_SPXS[[#This Row],[Move]],0)</f>
        <v>8.0000000000000071E-2</v>
      </c>
      <c r="O51" s="46">
        <f>MAX(-tbl_SPXS[[#This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4.857142857142855E-2</v>
      </c>
      <c r="Q51" s="46">
        <f ca="1">IF(ROW($O51)-5&lt;RSI_Periods, "", AVERAGE(INDIRECT(ADDRESS(ROW($O51)-RSI_Periods +1, MATCH("Downmove", Price_Header,0))): INDIRECT(ADDRESS(ROW($O51),MATCH("Downmove", Price_Header,0)))))</f>
        <v>0.14285714285714285</v>
      </c>
      <c r="R51" s="46">
        <f ca="1">IF(tbl_SPXS[[#This Row],[Avg_Upmove]]="", "", tbl_SPXS[[#This Row],[Avg_Upmove]]/tbl_SPXS[[#This Row],[Avg_Downmove]])</f>
        <v>0.33999999999999986</v>
      </c>
      <c r="S51" s="10">
        <f ca="1">IF(ROW($N51)-4&lt;BB_Periods, "", _xlfn.STDEV.S(INDIRECT(ADDRESS(ROW($F51)-RSI_Periods +1, MATCH("Adj Close", Price_Header,0))): INDIRECT(ADDRESS(ROW($F51),MATCH("Adj Close", Price_Header,0)))))</f>
        <v>0.37333439625699011</v>
      </c>
    </row>
    <row r="52" spans="1:19" x14ac:dyDescent="0.35">
      <c r="A52" s="8">
        <v>44119</v>
      </c>
      <c r="B52" s="10">
        <v>5.29</v>
      </c>
      <c r="C52" s="10">
        <v>5.31</v>
      </c>
      <c r="D52" s="10">
        <v>5.09</v>
      </c>
      <c r="E52" s="10">
        <v>5.12</v>
      </c>
      <c r="F52" s="10">
        <v>5.12</v>
      </c>
      <c r="G52">
        <v>32052100</v>
      </c>
      <c r="H52" s="10">
        <f>IF(tbl_SPXS[[#This Row],[Date]]=$A$5, $F52, EMA_Beta*$H51 + (1-EMA_Beta)*$F52)</f>
        <v>5.4621758316780431</v>
      </c>
      <c r="I52" s="46">
        <f ca="1">IF(tbl_SPXS[[#This Row],[RS]]= "", "", 100-(100/(1+tbl_SPXS[[#This Row],[RS]])))</f>
        <v>29.583333333333343</v>
      </c>
      <c r="J52" s="10">
        <f ca="1">IF(ROW($N52)-4&lt;BB_Periods, "", AVERAGE(INDIRECT(ADDRESS(ROW($F52)-RSI_Periods +1, MATCH("Adj Close", Price_Header,0))): INDIRECT(ADDRESS(ROW($F52),MATCH("Adj Close", Price_Header,0)))))</f>
        <v>5.4435714285714285</v>
      </c>
      <c r="K52" s="10">
        <f ca="1">IF(tbl_SPXS[[#This Row],[BB_Mean]]="", "", tbl_SPXS[[#This Row],[BB_Mean]]+(BB_Width*tbl_SPXS[[#This Row],[BB_Stdev]]))</f>
        <v>6.1351296309324059</v>
      </c>
      <c r="L52" s="10">
        <f ca="1">IF(tbl_SPXS[[#This Row],[BB_Mean]]="", "", tbl_SPXS[[#This Row],[BB_Mean]]-(BB_Width*tbl_SPXS[[#This Row],[BB_Stdev]]))</f>
        <v>4.7520132262104511</v>
      </c>
      <c r="M52" s="46">
        <f>IF(ROW(tbl_SPXS[[#This Row],[Adj Close]])=5, 0, $F52-$F51)</f>
        <v>3.0000000000000249E-2</v>
      </c>
      <c r="N52" s="46">
        <f>MAX(tbl_SPXS[[#This Row],[Move]],0)</f>
        <v>3.0000000000000249E-2</v>
      </c>
      <c r="O52" s="46">
        <f>MAX(-tbl_SPXS[[#This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5.0714285714285712E-2</v>
      </c>
      <c r="Q52" s="46">
        <f ca="1">IF(ROW($O52)-5&lt;RSI_Periods, "", AVERAGE(INDIRECT(ADDRESS(ROW($O52)-RSI_Periods +1, MATCH("Downmove", Price_Header,0))): INDIRECT(ADDRESS(ROW($O52),MATCH("Downmove", Price_Header,0)))))</f>
        <v>0.12071428571428568</v>
      </c>
      <c r="R52" s="46">
        <f ca="1">IF(tbl_SPXS[[#This Row],[Avg_Upmove]]="", "", tbl_SPXS[[#This Row],[Avg_Upmove]]/tbl_SPXS[[#This Row],[Avg_Downmove]])</f>
        <v>0.42011834319526636</v>
      </c>
      <c r="S52" s="10">
        <f ca="1">IF(ROW($N52)-4&lt;BB_Periods, "", _xlfn.STDEV.S(INDIRECT(ADDRESS(ROW($F52)-RSI_Periods +1, MATCH("Adj Close", Price_Header,0))): INDIRECT(ADDRESS(ROW($F52),MATCH("Adj Close", Price_Header,0)))))</f>
        <v>0.34577910118048882</v>
      </c>
    </row>
    <row r="53" spans="1:19" x14ac:dyDescent="0.35">
      <c r="A53" s="8">
        <v>44120</v>
      </c>
      <c r="B53" s="10">
        <v>5.05</v>
      </c>
      <c r="C53" s="10">
        <v>5.13</v>
      </c>
      <c r="D53" s="10">
        <v>4.97</v>
      </c>
      <c r="E53" s="10">
        <v>5.13</v>
      </c>
      <c r="F53" s="10">
        <v>5.13</v>
      </c>
      <c r="G53">
        <v>23461300</v>
      </c>
      <c r="H53" s="10">
        <f>IF(tbl_SPXS[[#This Row],[Date]]=$A$5, $F53, EMA_Beta*$H52 + (1-EMA_Beta)*$F53)</f>
        <v>5.4289582485102388</v>
      </c>
      <c r="I53" s="46">
        <f ca="1">IF(tbl_SPXS[[#This Row],[RS]]= "", "", 100-(100/(1+tbl_SPXS[[#This Row],[RS]])))</f>
        <v>33.962264150943398</v>
      </c>
      <c r="J53" s="10">
        <f ca="1">IF(ROW($N53)-4&lt;BB_Periods, "", AVERAGE(INDIRECT(ADDRESS(ROW($F53)-RSI_Periods +1, MATCH("Adj Close", Price_Header,0))): INDIRECT(ADDRESS(ROW($F53),MATCH("Adj Close", Price_Header,0)))))</f>
        <v>5.3949999999999987</v>
      </c>
      <c r="K53" s="10">
        <f ca="1">IF(tbl_SPXS[[#This Row],[BB_Mean]]="", "", tbl_SPXS[[#This Row],[BB_Mean]]+(BB_Width*tbl_SPXS[[#This Row],[BB_Stdev]]))</f>
        <v>6.071040508572354</v>
      </c>
      <c r="L53" s="10">
        <f ca="1">IF(tbl_SPXS[[#This Row],[BB_Mean]]="", "", tbl_SPXS[[#This Row],[BB_Mean]]-(BB_Width*tbl_SPXS[[#This Row],[BB_Stdev]]))</f>
        <v>4.7189594914276434</v>
      </c>
      <c r="M53" s="46">
        <f>IF(ROW(tbl_SPXS[[#This Row],[Adj Close]])=5, 0, $F53-$F52)</f>
        <v>9.9999999999997868E-3</v>
      </c>
      <c r="N53" s="46">
        <f>MAX(tbl_SPXS[[#This Row],[Move]],0)</f>
        <v>9.9999999999997868E-3</v>
      </c>
      <c r="O53" s="46">
        <f>MAX(-tbl_SPXS[[#This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5.1428571428571414E-2</v>
      </c>
      <c r="Q53" s="46">
        <f ca="1">IF(ROW($O53)-5&lt;RSI_Periods, "", AVERAGE(INDIRECT(ADDRESS(ROW($O53)-RSI_Periods +1, MATCH("Downmove", Price_Header,0))): INDIRECT(ADDRESS(ROW($O53),MATCH("Downmove", Price_Header,0)))))</f>
        <v>9.9999999999999964E-2</v>
      </c>
      <c r="R53" s="46">
        <f ca="1">IF(tbl_SPXS[[#This Row],[Avg_Upmove]]="", "", tbl_SPXS[[#This Row],[Avg_Upmove]]/tbl_SPXS[[#This Row],[Avg_Downmove]])</f>
        <v>0.51428571428571435</v>
      </c>
      <c r="S53" s="10">
        <f ca="1">IF(ROW($N53)-4&lt;BB_Periods, "", _xlfn.STDEV.S(INDIRECT(ADDRESS(ROW($F53)-RSI_Periods +1, MATCH("Adj Close", Price_Header,0))): INDIRECT(ADDRESS(ROW($F53),MATCH("Adj Close", Price_Header,0)))))</f>
        <v>0.33802025428617771</v>
      </c>
    </row>
    <row r="54" spans="1:19" x14ac:dyDescent="0.35">
      <c r="A54" s="8">
        <v>44123</v>
      </c>
      <c r="B54" s="10">
        <v>5.0599999999999996</v>
      </c>
      <c r="C54" s="10">
        <v>5.4</v>
      </c>
      <c r="D54" s="10">
        <v>5.03</v>
      </c>
      <c r="E54" s="10">
        <v>5.36</v>
      </c>
      <c r="F54" s="10">
        <v>5.36</v>
      </c>
      <c r="G54">
        <v>28330900</v>
      </c>
      <c r="H54" s="10">
        <f>IF(tbl_SPXS[[#This Row],[Date]]=$A$5, $F54, EMA_Beta*$H53 + (1-EMA_Beta)*$F54)</f>
        <v>5.4220624236592148</v>
      </c>
      <c r="I54" s="46">
        <f ca="1">IF(tbl_SPXS[[#This Row],[RS]]= "", "", 100-(100/(1+tbl_SPXS[[#This Row],[RS]])))</f>
        <v>37.777777777777779</v>
      </c>
      <c r="J54" s="10">
        <f ca="1">IF(ROW($N54)-4&lt;BB_Periods, "", AVERAGE(INDIRECT(ADDRESS(ROW($F54)-RSI_Periods +1, MATCH("Adj Close", Price_Header,0))): INDIRECT(ADDRESS(ROW($F54),MATCH("Adj Close", Price_Header,0)))))</f>
        <v>5.355714285714285</v>
      </c>
      <c r="K54" s="10">
        <f ca="1">IF(tbl_SPXS[[#This Row],[BB_Mean]]="", "", tbl_SPXS[[#This Row],[BB_Mean]]+(BB_Width*tbl_SPXS[[#This Row],[BB_Stdev]]))</f>
        <v>5.9632927978027626</v>
      </c>
      <c r="L54" s="10">
        <f ca="1">IF(tbl_SPXS[[#This Row],[BB_Mean]]="", "", tbl_SPXS[[#This Row],[BB_Mean]]-(BB_Width*tbl_SPXS[[#This Row],[BB_Stdev]]))</f>
        <v>4.7481357736258074</v>
      </c>
      <c r="M54" s="46">
        <f>IF(ROW(tbl_SPXS[[#This Row],[Adj Close]])=5, 0, $F54-$F53)</f>
        <v>0.23000000000000043</v>
      </c>
      <c r="N54" s="46">
        <f>MAX(tbl_SPXS[[#This Row],[Move]],0)</f>
        <v>0.23000000000000043</v>
      </c>
      <c r="O54" s="46">
        <f>MAX(-tbl_SPXS[[#This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6.0714285714285686E-2</v>
      </c>
      <c r="Q54" s="46">
        <f ca="1">IF(ROW($O54)-5&lt;RSI_Periods, "", AVERAGE(INDIRECT(ADDRESS(ROW($O54)-RSI_Periods +1, MATCH("Downmove", Price_Header,0))): INDIRECT(ADDRESS(ROW($O54),MATCH("Downmove", Price_Header,0)))))</f>
        <v>9.9999999999999964E-2</v>
      </c>
      <c r="R54" s="46">
        <f ca="1">IF(tbl_SPXS[[#This Row],[Avg_Upmove]]="", "", tbl_SPXS[[#This Row],[Avg_Upmove]]/tbl_SPXS[[#This Row],[Avg_Downmove]])</f>
        <v>0.6071428571428571</v>
      </c>
      <c r="S54" s="10">
        <f ca="1">IF(ROW($N54)-4&lt;BB_Periods, "", _xlfn.STDEV.S(INDIRECT(ADDRESS(ROW($F54)-RSI_Periods +1, MATCH("Adj Close", Price_Header,0))): INDIRECT(ADDRESS(ROW($F54),MATCH("Adj Close", Price_Header,0)))))</f>
        <v>0.30378925604423873</v>
      </c>
    </row>
    <row r="55" spans="1:19" x14ac:dyDescent="0.35">
      <c r="A55" s="8">
        <v>44124</v>
      </c>
      <c r="B55" s="10">
        <v>5.3</v>
      </c>
      <c r="C55" s="10">
        <v>5.33</v>
      </c>
      <c r="D55" s="10">
        <v>5.12</v>
      </c>
      <c r="E55" s="10">
        <v>5.3</v>
      </c>
      <c r="F55" s="10">
        <v>5.3</v>
      </c>
      <c r="G55">
        <v>32694600</v>
      </c>
      <c r="H55" s="10">
        <f>IF(tbl_SPXS[[#This Row],[Date]]=$A$5, $F55, EMA_Beta*$H54 + (1-EMA_Beta)*$F55)</f>
        <v>5.4098561812932937</v>
      </c>
      <c r="I55" s="46">
        <f ca="1">IF(tbl_SPXS[[#This Row],[RS]]= "", "", 100-(100/(1+tbl_SPXS[[#This Row],[RS]])))</f>
        <v>39.351851851851848</v>
      </c>
      <c r="J55" s="10">
        <f ca="1">IF(ROW($N55)-4&lt;BB_Periods, "", AVERAGE(INDIRECT(ADDRESS(ROW($F55)-RSI_Periods +1, MATCH("Adj Close", Price_Header,0))): INDIRECT(ADDRESS(ROW($F55),MATCH("Adj Close", Price_Header,0)))))</f>
        <v>5.322857142857143</v>
      </c>
      <c r="K55" s="10">
        <f ca="1">IF(tbl_SPXS[[#This Row],[BB_Mean]]="", "", tbl_SPXS[[#This Row],[BB_Mean]]+(BB_Width*tbl_SPXS[[#This Row],[BB_Stdev]]))</f>
        <v>5.8842525785037427</v>
      </c>
      <c r="L55" s="10">
        <f ca="1">IF(tbl_SPXS[[#This Row],[BB_Mean]]="", "", tbl_SPXS[[#This Row],[BB_Mean]]-(BB_Width*tbl_SPXS[[#This Row],[BB_Stdev]]))</f>
        <v>4.7614617072105432</v>
      </c>
      <c r="M55" s="46">
        <f>IF(ROW(tbl_SPXS[[#This Row],[Adj Close]])=5, 0, $F55-$F54)</f>
        <v>-6.0000000000000497E-2</v>
      </c>
      <c r="N55" s="46">
        <f>MAX(tbl_SPXS[[#This Row],[Move]],0)</f>
        <v>0</v>
      </c>
      <c r="O55" s="46">
        <f>MAX(-tbl_SPXS[[#This Row],[Move]],0)</f>
        <v>6.0000000000000497E-2</v>
      </c>
      <c r="P55" s="46">
        <f ca="1">IF(ROW($N55)-5&lt;RSI_Periods, "", AVERAGE(INDIRECT(ADDRESS(ROW($N55)-RSI_Periods +1, MATCH("Upmove", Price_Header,0))): INDIRECT(ADDRESS(ROW($N55),MATCH("Upmove", Price_Header,0)))))</f>
        <v>6.0714285714285686E-2</v>
      </c>
      <c r="Q55" s="46">
        <f ca="1">IF(ROW($O55)-5&lt;RSI_Periods, "", AVERAGE(INDIRECT(ADDRESS(ROW($O55)-RSI_Periods +1, MATCH("Downmove", Price_Header,0))): INDIRECT(ADDRESS(ROW($O55),MATCH("Downmove", Price_Header,0)))))</f>
        <v>9.3571428571428542E-2</v>
      </c>
      <c r="R55" s="46">
        <f ca="1">IF(tbl_SPXS[[#This Row],[Avg_Upmove]]="", "", tbl_SPXS[[#This Row],[Avg_Upmove]]/tbl_SPXS[[#This Row],[Avg_Downmove]])</f>
        <v>0.64885496183206093</v>
      </c>
      <c r="S55" s="10">
        <f ca="1">IF(ROW($N55)-4&lt;BB_Periods, "", _xlfn.STDEV.S(INDIRECT(ADDRESS(ROW($F55)-RSI_Periods +1, MATCH("Adj Close", Price_Header,0))): INDIRECT(ADDRESS(ROW($F55),MATCH("Adj Close", Price_Header,0)))))</f>
        <v>0.28069771782329966</v>
      </c>
    </row>
    <row r="56" spans="1:19" x14ac:dyDescent="0.35">
      <c r="A56" s="8">
        <v>44125</v>
      </c>
      <c r="B56" s="10">
        <v>5.3</v>
      </c>
      <c r="C56" s="10">
        <v>5.34</v>
      </c>
      <c r="D56" s="10">
        <v>5.18</v>
      </c>
      <c r="E56" s="10">
        <v>5.33</v>
      </c>
      <c r="F56" s="10">
        <v>5.33</v>
      </c>
      <c r="G56">
        <v>32532800</v>
      </c>
      <c r="H56" s="10">
        <f>IF(tbl_SPXS[[#This Row],[Date]]=$A$5, $F56, EMA_Beta*$H55 + (1-EMA_Beta)*$F56)</f>
        <v>5.4018705631639641</v>
      </c>
      <c r="I56" s="46">
        <f ca="1">IF(tbl_SPXS[[#This Row],[RS]]= "", "", 100-(100/(1+tbl_SPXS[[#This Row],[RS]])))</f>
        <v>42.105263157894733</v>
      </c>
      <c r="J56" s="10">
        <f ca="1">IF(ROW($N56)-4&lt;BB_Periods, "", AVERAGE(INDIRECT(ADDRESS(ROW($F56)-RSI_Periods +1, MATCH("Adj Close", Price_Header,0))): INDIRECT(ADDRESS(ROW($F56),MATCH("Adj Close", Price_Header,0)))))</f>
        <v>5.2992857142857144</v>
      </c>
      <c r="K56" s="10">
        <f ca="1">IF(tbl_SPXS[[#This Row],[BB_Mean]]="", "", tbl_SPXS[[#This Row],[BB_Mean]]+(BB_Width*tbl_SPXS[[#This Row],[BB_Stdev]]))</f>
        <v>5.8263655818704922</v>
      </c>
      <c r="L56" s="10">
        <f ca="1">IF(tbl_SPXS[[#This Row],[BB_Mean]]="", "", tbl_SPXS[[#This Row],[BB_Mean]]-(BB_Width*tbl_SPXS[[#This Row],[BB_Stdev]]))</f>
        <v>4.7722058467009365</v>
      </c>
      <c r="M56" s="46">
        <f>IF(ROW(tbl_SPXS[[#This Row],[Adj Close]])=5, 0, $F56-$F55)</f>
        <v>3.0000000000000249E-2</v>
      </c>
      <c r="N56" s="46">
        <f>MAX(tbl_SPXS[[#This Row],[Move]],0)</f>
        <v>3.0000000000000249E-2</v>
      </c>
      <c r="O56" s="46">
        <f>MAX(-tbl_SPXS[[#This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6.2857142857142848E-2</v>
      </c>
      <c r="Q56" s="46">
        <f ca="1">IF(ROW($O56)-5&lt;RSI_Periods, "", AVERAGE(INDIRECT(ADDRESS(ROW($O56)-RSI_Periods +1, MATCH("Downmove", Price_Header,0))): INDIRECT(ADDRESS(ROW($O56),MATCH("Downmove", Price_Header,0)))))</f>
        <v>8.6428571428571424E-2</v>
      </c>
      <c r="R56" s="46">
        <f ca="1">IF(tbl_SPXS[[#This Row],[Avg_Upmove]]="", "", tbl_SPXS[[#This Row],[Avg_Upmove]]/tbl_SPXS[[#This Row],[Avg_Downmove]])</f>
        <v>0.72727272727272718</v>
      </c>
      <c r="S56" s="10">
        <f ca="1">IF(ROW($N56)-4&lt;BB_Periods, "", _xlfn.STDEV.S(INDIRECT(ADDRESS(ROW($F56)-RSI_Periods +1, MATCH("Adj Close", Price_Header,0))): INDIRECT(ADDRESS(ROW($F56),MATCH("Adj Close", Price_Header,0)))))</f>
        <v>0.26353993379238877</v>
      </c>
    </row>
    <row r="57" spans="1:19" x14ac:dyDescent="0.35">
      <c r="A57" s="8">
        <v>44126</v>
      </c>
      <c r="B57" s="10">
        <v>5.31</v>
      </c>
      <c r="C57" s="10">
        <v>5.42</v>
      </c>
      <c r="D57" s="10">
        <v>5.2</v>
      </c>
      <c r="E57" s="10">
        <v>5.24</v>
      </c>
      <c r="F57" s="10">
        <v>5.24</v>
      </c>
      <c r="G57">
        <v>26525200</v>
      </c>
      <c r="H57" s="10">
        <f>IF(tbl_SPXS[[#This Row],[Date]]=$A$5, $F57, EMA_Beta*$H56 + (1-EMA_Beta)*$F57)</f>
        <v>5.3856835068475677</v>
      </c>
      <c r="I57" s="46">
        <f ca="1">IF(tbl_SPXS[[#This Row],[RS]]= "", "", 100-(100/(1+tbl_SPXS[[#This Row],[RS]])))</f>
        <v>35.960591133004939</v>
      </c>
      <c r="J57" s="10">
        <f ca="1">IF(ROW($N57)-4&lt;BB_Periods, "", AVERAGE(INDIRECT(ADDRESS(ROW($F57)-RSI_Periods +1, MATCH("Adj Close", Price_Header,0))): INDIRECT(ADDRESS(ROW($F57),MATCH("Adj Close", Price_Header,0)))))</f>
        <v>5.258571428571428</v>
      </c>
      <c r="K57" s="10">
        <f ca="1">IF(tbl_SPXS[[#This Row],[BB_Mean]]="", "", tbl_SPXS[[#This Row],[BB_Mean]]+(BB_Width*tbl_SPXS[[#This Row],[BB_Stdev]]))</f>
        <v>5.6961773027309288</v>
      </c>
      <c r="L57" s="10">
        <f ca="1">IF(tbl_SPXS[[#This Row],[BB_Mean]]="", "", tbl_SPXS[[#This Row],[BB_Mean]]-(BB_Width*tbl_SPXS[[#This Row],[BB_Stdev]]))</f>
        <v>4.8209655544119272</v>
      </c>
      <c r="M57" s="46">
        <f>IF(ROW(tbl_SPXS[[#This Row],[Adj Close]])=5, 0, $F57-$F56)</f>
        <v>-8.9999999999999858E-2</v>
      </c>
      <c r="N57" s="46">
        <f>MAX(tbl_SPXS[[#This Row],[Move]],0)</f>
        <v>0</v>
      </c>
      <c r="O57" s="46">
        <f>MAX(-tbl_SPXS[[#This Row],[Move]],0)</f>
        <v>8.9999999999999858E-2</v>
      </c>
      <c r="P57" s="46">
        <f ca="1">IF(ROW($N57)-5&lt;RSI_Periods, "", AVERAGE(INDIRECT(ADDRESS(ROW($N57)-RSI_Periods +1, MATCH("Upmove", Price_Header,0))): INDIRECT(ADDRESS(ROW($N57),MATCH("Upmove", Price_Header,0)))))</f>
        <v>5.2142857142857171E-2</v>
      </c>
      <c r="Q57" s="46">
        <f ca="1">IF(ROW($O57)-5&lt;RSI_Periods, "", AVERAGE(INDIRECT(ADDRESS(ROW($O57)-RSI_Periods +1, MATCH("Downmove", Price_Header,0))): INDIRECT(ADDRESS(ROW($O57),MATCH("Downmove", Price_Header,0)))))</f>
        <v>9.2857142857142846E-2</v>
      </c>
      <c r="R57" s="46">
        <f ca="1">IF(tbl_SPXS[[#This Row],[Avg_Upmove]]="", "", tbl_SPXS[[#This Row],[Avg_Upmove]]/tbl_SPXS[[#This Row],[Avg_Downmove]])</f>
        <v>0.56153846153846187</v>
      </c>
      <c r="S57" s="10">
        <f ca="1">IF(ROW($N57)-4&lt;BB_Periods, "", _xlfn.STDEV.S(INDIRECT(ADDRESS(ROW($F57)-RSI_Periods +1, MATCH("Adj Close", Price_Header,0))): INDIRECT(ADDRESS(ROW($F57),MATCH("Adj Close", Price_Header,0)))))</f>
        <v>0.21880293707975051</v>
      </c>
    </row>
    <row r="58" spans="1:19" x14ac:dyDescent="0.35">
      <c r="A58" s="8">
        <v>44127</v>
      </c>
      <c r="B58" s="10">
        <v>5.17</v>
      </c>
      <c r="C58" s="10">
        <v>5.3</v>
      </c>
      <c r="D58" s="10">
        <v>5.17</v>
      </c>
      <c r="E58" s="10">
        <v>5.18</v>
      </c>
      <c r="F58" s="10">
        <v>5.18</v>
      </c>
      <c r="G58">
        <v>22933100</v>
      </c>
      <c r="H58" s="10">
        <f>IF(tbl_SPXS[[#This Row],[Date]]=$A$5, $F58, EMA_Beta*$H57 + (1-EMA_Beta)*$F58)</f>
        <v>5.365115156162811</v>
      </c>
      <c r="I58" s="46">
        <f ca="1">IF(tbl_SPXS[[#This Row],[RS]]= "", "", 100-(100/(1+tbl_SPXS[[#This Row],[RS]])))</f>
        <v>40.782122905027933</v>
      </c>
      <c r="J58" s="10">
        <f ca="1">IF(ROW($N58)-4&lt;BB_Periods, "", AVERAGE(INDIRECT(ADDRESS(ROW($F58)-RSI_Periods +1, MATCH("Adj Close", Price_Header,0))): INDIRECT(ADDRESS(ROW($F58),MATCH("Adj Close", Price_Header,0)))))</f>
        <v>5.2349999999999994</v>
      </c>
      <c r="K58" s="10">
        <f ca="1">IF(tbl_SPXS[[#This Row],[BB_Mean]]="", "", tbl_SPXS[[#This Row],[BB_Mean]]+(BB_Width*tbl_SPXS[[#This Row],[BB_Stdev]]))</f>
        <v>5.6491905915805498</v>
      </c>
      <c r="L58" s="10">
        <f ca="1">IF(tbl_SPXS[[#This Row],[BB_Mean]]="", "", tbl_SPXS[[#This Row],[BB_Mean]]-(BB_Width*tbl_SPXS[[#This Row],[BB_Stdev]]))</f>
        <v>4.820809408419449</v>
      </c>
      <c r="M58" s="46">
        <f>IF(ROW(tbl_SPXS[[#This Row],[Adj Close]])=5, 0, $F58-$F57)</f>
        <v>-6.0000000000000497E-2</v>
      </c>
      <c r="N58" s="46">
        <f>MAX(tbl_SPXS[[#This Row],[Move]],0)</f>
        <v>0</v>
      </c>
      <c r="O58" s="46">
        <f>MAX(-tbl_SPXS[[#This Row],[Move]],0)</f>
        <v>6.0000000000000497E-2</v>
      </c>
      <c r="P58" s="46">
        <f ca="1">IF(ROW($N58)-5&lt;RSI_Periods, "", AVERAGE(INDIRECT(ADDRESS(ROW($N58)-RSI_Periods +1, MATCH("Upmove", Price_Header,0))): INDIRECT(ADDRESS(ROW($N58),MATCH("Upmove", Price_Header,0)))))</f>
        <v>5.2142857142857171E-2</v>
      </c>
      <c r="Q58" s="46">
        <f ca="1">IF(ROW($O58)-5&lt;RSI_Periods, "", AVERAGE(INDIRECT(ADDRESS(ROW($O58)-RSI_Periods +1, MATCH("Downmove", Price_Header,0))): INDIRECT(ADDRESS(ROW($O58),MATCH("Downmove", Price_Header,0)))))</f>
        <v>7.5714285714285748E-2</v>
      </c>
      <c r="R58" s="46">
        <f ca="1">IF(tbl_SPXS[[#This Row],[Avg_Upmove]]="", "", tbl_SPXS[[#This Row],[Avg_Upmove]]/tbl_SPXS[[#This Row],[Avg_Downmove]])</f>
        <v>0.68867924528301894</v>
      </c>
      <c r="S58" s="10">
        <f ca="1">IF(ROW($N58)-4&lt;BB_Periods, "", _xlfn.STDEV.S(INDIRECT(ADDRESS(ROW($F58)-RSI_Periods +1, MATCH("Adj Close", Price_Header,0))): INDIRECT(ADDRESS(ROW($F58),MATCH("Adj Close", Price_Header,0)))))</f>
        <v>0.20709529579027514</v>
      </c>
    </row>
    <row r="59" spans="1:19" x14ac:dyDescent="0.35">
      <c r="A59" s="8">
        <v>44130</v>
      </c>
      <c r="B59" s="10">
        <v>5.34</v>
      </c>
      <c r="C59" s="10">
        <v>5.64</v>
      </c>
      <c r="D59" s="10">
        <v>5.3</v>
      </c>
      <c r="E59" s="10">
        <v>5.46</v>
      </c>
      <c r="F59" s="10">
        <v>5.46</v>
      </c>
      <c r="G59">
        <v>42424000</v>
      </c>
      <c r="H59" s="10">
        <f>IF(tbl_SPXS[[#This Row],[Date]]=$A$5, $F59, EMA_Beta*$H58 + (1-EMA_Beta)*$F59)</f>
        <v>5.3746036405465301</v>
      </c>
      <c r="I59" s="46">
        <f ca="1">IF(tbl_SPXS[[#This Row],[RS]]= "", "", 100-(100/(1+tbl_SPXS[[#This Row],[RS]])))</f>
        <v>42.076502732240442</v>
      </c>
      <c r="J59" s="10">
        <f ca="1">IF(ROW($N59)-4&lt;BB_Periods, "", AVERAGE(INDIRECT(ADDRESS(ROW($F59)-RSI_Periods +1, MATCH("Adj Close", Price_Header,0))): INDIRECT(ADDRESS(ROW($F59),MATCH("Adj Close", Price_Header,0)))))</f>
        <v>5.2142857142857135</v>
      </c>
      <c r="K59" s="10">
        <f ca="1">IF(tbl_SPXS[[#This Row],[BB_Mean]]="", "", tbl_SPXS[[#This Row],[BB_Mean]]+(BB_Width*tbl_SPXS[[#This Row],[BB_Stdev]]))</f>
        <v>5.5362713122163125</v>
      </c>
      <c r="L59" s="10">
        <f ca="1">IF(tbl_SPXS[[#This Row],[BB_Mean]]="", "", tbl_SPXS[[#This Row],[BB_Mean]]-(BB_Width*tbl_SPXS[[#This Row],[BB_Stdev]]))</f>
        <v>4.8923001163551145</v>
      </c>
      <c r="M59" s="46">
        <f>IF(ROW(tbl_SPXS[[#This Row],[Adj Close]])=5, 0, $F59-$F58)</f>
        <v>0.28000000000000025</v>
      </c>
      <c r="N59" s="46">
        <f>MAX(tbl_SPXS[[#This Row],[Move]],0)</f>
        <v>0.28000000000000025</v>
      </c>
      <c r="O59" s="46">
        <f>MAX(-tbl_SPXS[[#This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5.5000000000000035E-2</v>
      </c>
      <c r="Q59" s="46">
        <f ca="1">IF(ROW($O59)-5&lt;RSI_Periods, "", AVERAGE(INDIRECT(ADDRESS(ROW($O59)-RSI_Periods +1, MATCH("Downmove", Price_Header,0))): INDIRECT(ADDRESS(ROW($O59),MATCH("Downmove", Price_Header,0)))))</f>
        <v>7.5714285714285748E-2</v>
      </c>
      <c r="R59" s="46">
        <f ca="1">IF(tbl_SPXS[[#This Row],[Avg_Upmove]]="", "", tbl_SPXS[[#This Row],[Avg_Upmove]]/tbl_SPXS[[#This Row],[Avg_Downmove]])</f>
        <v>0.72641509433962281</v>
      </c>
      <c r="S59" s="10">
        <f ca="1">IF(ROW($N59)-4&lt;BB_Periods, "", _xlfn.STDEV.S(INDIRECT(ADDRESS(ROW($F59)-RSI_Periods +1, MATCH("Adj Close", Price_Header,0))): INDIRECT(ADDRESS(ROW($F59),MATCH("Adj Close", Price_Header,0)))))</f>
        <v>0.16099279896529944</v>
      </c>
    </row>
    <row r="60" spans="1:19" x14ac:dyDescent="0.35">
      <c r="A60" s="8">
        <v>44131</v>
      </c>
      <c r="B60" s="10">
        <v>5.46</v>
      </c>
      <c r="C60" s="10">
        <v>5.54</v>
      </c>
      <c r="D60" s="10">
        <v>5.43</v>
      </c>
      <c r="E60" s="10">
        <v>5.53</v>
      </c>
      <c r="F60" s="10">
        <v>5.53</v>
      </c>
      <c r="G60">
        <v>35508000</v>
      </c>
      <c r="H60" s="10">
        <f>IF(tbl_SPXS[[#This Row],[Date]]=$A$5, $F60, EMA_Beta*$H59 + (1-EMA_Beta)*$F60)</f>
        <v>5.3901432764918775</v>
      </c>
      <c r="I60" s="46">
        <f ca="1">IF(tbl_SPXS[[#This Row],[RS]]= "", "", 100-(100/(1+tbl_SPXS[[#This Row],[RS]])))</f>
        <v>52.830188679245275</v>
      </c>
      <c r="J60" s="10">
        <f ca="1">IF(ROW($N60)-4&lt;BB_Periods, "", AVERAGE(INDIRECT(ADDRESS(ROW($F60)-RSI_Periods +1, MATCH("Adj Close", Price_Header,0))): INDIRECT(ADDRESS(ROW($F60),MATCH("Adj Close", Price_Header,0)))))</f>
        <v>5.2207142857142861</v>
      </c>
      <c r="K60" s="10">
        <f ca="1">IF(tbl_SPXS[[#This Row],[BB_Mean]]="", "", tbl_SPXS[[#This Row],[BB_Mean]]+(BB_Width*tbl_SPXS[[#This Row],[BB_Stdev]]))</f>
        <v>5.5649382097667983</v>
      </c>
      <c r="L60" s="10">
        <f ca="1">IF(tbl_SPXS[[#This Row],[BB_Mean]]="", "", tbl_SPXS[[#This Row],[BB_Mean]]-(BB_Width*tbl_SPXS[[#This Row],[BB_Stdev]]))</f>
        <v>4.8764903616617739</v>
      </c>
      <c r="M60" s="46">
        <f>IF(ROW(tbl_SPXS[[#This Row],[Adj Close]])=5, 0, $F60-$F59)</f>
        <v>7.0000000000000284E-2</v>
      </c>
      <c r="N60" s="46">
        <f>MAX(tbl_SPXS[[#This Row],[Move]],0)</f>
        <v>7.0000000000000284E-2</v>
      </c>
      <c r="O60" s="46">
        <f>MAX(-tbl_SPXS[[#This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6.0000000000000053E-2</v>
      </c>
      <c r="Q60" s="46">
        <f ca="1">IF(ROW($O60)-5&lt;RSI_Periods, "", AVERAGE(INDIRECT(ADDRESS(ROW($O60)-RSI_Periods +1, MATCH("Downmove", Price_Header,0))): INDIRECT(ADDRESS(ROW($O60),MATCH("Downmove", Price_Header,0)))))</f>
        <v>5.3571428571428638E-2</v>
      </c>
      <c r="R60" s="46">
        <f ca="1">IF(tbl_SPXS[[#This Row],[Avg_Upmove]]="", "", tbl_SPXS[[#This Row],[Avg_Upmove]]/tbl_SPXS[[#This Row],[Avg_Downmove]])</f>
        <v>1.1199999999999997</v>
      </c>
      <c r="S60" s="10">
        <f ca="1">IF(ROW($N60)-4&lt;BB_Periods, "", _xlfn.STDEV.S(INDIRECT(ADDRESS(ROW($F60)-RSI_Periods +1, MATCH("Adj Close", Price_Header,0))): INDIRECT(ADDRESS(ROW($F60),MATCH("Adj Close", Price_Header,0)))))</f>
        <v>0.17211196202625625</v>
      </c>
    </row>
    <row r="61" spans="1:19" x14ac:dyDescent="0.35">
      <c r="A61" s="8">
        <v>44132</v>
      </c>
      <c r="B61" s="10">
        <v>5.83</v>
      </c>
      <c r="C61" s="10">
        <v>6.12</v>
      </c>
      <c r="D61" s="10">
        <v>5.79</v>
      </c>
      <c r="E61" s="10">
        <v>6.08</v>
      </c>
      <c r="F61" s="10">
        <v>6.08</v>
      </c>
      <c r="G61">
        <v>57945000</v>
      </c>
      <c r="H61" s="10">
        <f>IF(tbl_SPXS[[#This Row],[Date]]=$A$5, $F61, EMA_Beta*$H60 + (1-EMA_Beta)*$F61)</f>
        <v>5.4591289488426895</v>
      </c>
      <c r="I61" s="46">
        <f ca="1">IF(tbl_SPXS[[#This Row],[RS]]= "", "", 100-(100/(1+tbl_SPXS[[#This Row],[RS]])))</f>
        <v>69.849246231155774</v>
      </c>
      <c r="J61" s="10">
        <f ca="1">IF(ROW($N61)-4&lt;BB_Periods, "", AVERAGE(INDIRECT(ADDRESS(ROW($F61)-RSI_Periods +1, MATCH("Adj Close", Price_Header,0))): INDIRECT(ADDRESS(ROW($F61),MATCH("Adj Close", Price_Header,0)))))</f>
        <v>5.2771428571428567</v>
      </c>
      <c r="K61" s="10">
        <f ca="1">IF(tbl_SPXS[[#This Row],[BB_Mean]]="", "", tbl_SPXS[[#This Row],[BB_Mean]]+(BB_Width*tbl_SPXS[[#This Row],[BB_Stdev]]))</f>
        <v>5.8520236379034527</v>
      </c>
      <c r="L61" s="10">
        <f ca="1">IF(tbl_SPXS[[#This Row],[BB_Mean]]="", "", tbl_SPXS[[#This Row],[BB_Mean]]-(BB_Width*tbl_SPXS[[#This Row],[BB_Stdev]]))</f>
        <v>4.7022620763822607</v>
      </c>
      <c r="M61" s="46">
        <f>IF(ROW(tbl_SPXS[[#This Row],[Adj Close]])=5, 0, $F61-$F60)</f>
        <v>0.54999999999999982</v>
      </c>
      <c r="N61" s="46">
        <f>MAX(tbl_SPXS[[#This Row],[Move]],0)</f>
        <v>0.54999999999999982</v>
      </c>
      <c r="O61" s="46">
        <f>MAX(-tbl_SPXS[[#This Row],[Move]],0)</f>
        <v>0</v>
      </c>
      <c r="P61" s="46">
        <f ca="1">IF(ROW($N61)-5&lt;RSI_Periods, "", AVERAGE(INDIRECT(ADDRESS(ROW($N61)-RSI_Periods +1, MATCH("Upmove", Price_Header,0))): INDIRECT(ADDRESS(ROW($N61),MATCH("Upmove", Price_Header,0)))))</f>
        <v>9.9285714285714324E-2</v>
      </c>
      <c r="Q61" s="46">
        <f ca="1">IF(ROW($O61)-5&lt;RSI_Periods, "", AVERAGE(INDIRECT(ADDRESS(ROW($O61)-RSI_Periods +1, MATCH("Downmove", Price_Header,0))): INDIRECT(ADDRESS(ROW($O61),MATCH("Downmove", Price_Header,0)))))</f>
        <v>4.2857142857142892E-2</v>
      </c>
      <c r="R61" s="46">
        <f ca="1">IF(tbl_SPXS[[#This Row],[Avg_Upmove]]="", "", tbl_SPXS[[#This Row],[Avg_Upmove]]/tbl_SPXS[[#This Row],[Avg_Downmove]])</f>
        <v>2.3166666666666655</v>
      </c>
      <c r="S61" s="10">
        <f ca="1">IF(ROW($N61)-4&lt;BB_Periods, "", _xlfn.STDEV.S(INDIRECT(ADDRESS(ROW($F61)-RSI_Periods +1, MATCH("Adj Close", Price_Header,0))): INDIRECT(ADDRESS(ROW($F61),MATCH("Adj Close", Price_Header,0)))))</f>
        <v>0.28744039038029784</v>
      </c>
    </row>
    <row r="62" spans="1:19" x14ac:dyDescent="0.35">
      <c r="A62" s="8">
        <v>44133</v>
      </c>
      <c r="B62" s="10">
        <v>6.07</v>
      </c>
      <c r="C62" s="10">
        <v>6.18</v>
      </c>
      <c r="D62" s="10">
        <v>5.71</v>
      </c>
      <c r="E62" s="10">
        <v>5.89</v>
      </c>
      <c r="F62" s="10">
        <v>5.89</v>
      </c>
      <c r="G62">
        <v>52840600</v>
      </c>
      <c r="H62" s="10">
        <f>IF(tbl_SPXS[[#This Row],[Date]]=$A$5, $F62, EMA_Beta*$H61 + (1-EMA_Beta)*$F62)</f>
        <v>5.5022160539584206</v>
      </c>
      <c r="I62" s="46">
        <f ca="1">IF(tbl_SPXS[[#This Row],[RS]]= "", "", 100-(100/(1+tbl_SPXS[[#This Row],[RS]])))</f>
        <v>68.137254901960745</v>
      </c>
      <c r="J62" s="10">
        <f ca="1">IF(ROW($N62)-4&lt;BB_Periods, "", AVERAGE(INDIRECT(ADDRESS(ROW($F62)-RSI_Periods +1, MATCH("Adj Close", Price_Header,0))): INDIRECT(ADDRESS(ROW($F62),MATCH("Adj Close", Price_Header,0)))))</f>
        <v>5.33</v>
      </c>
      <c r="K62" s="10">
        <f ca="1">IF(tbl_SPXS[[#This Row],[BB_Mean]]="", "", tbl_SPXS[[#This Row],[BB_Mean]]+(BB_Width*tbl_SPXS[[#This Row],[BB_Stdev]]))</f>
        <v>5.9850161477751174</v>
      </c>
      <c r="L62" s="10">
        <f ca="1">IF(tbl_SPXS[[#This Row],[BB_Mean]]="", "", tbl_SPXS[[#This Row],[BB_Mean]]-(BB_Width*tbl_SPXS[[#This Row],[BB_Stdev]]))</f>
        <v>4.6749838522248828</v>
      </c>
      <c r="M62" s="46">
        <f>IF(ROW(tbl_SPXS[[#This Row],[Adj Close]])=5, 0, $F62-$F61)</f>
        <v>-0.19000000000000039</v>
      </c>
      <c r="N62" s="46">
        <f>MAX(tbl_SPXS[[#This Row],[Move]],0)</f>
        <v>0</v>
      </c>
      <c r="O62" s="46">
        <f>MAX(-tbl_SPXS[[#This Row],[Move]],0)</f>
        <v>0.19000000000000039</v>
      </c>
      <c r="P62" s="46">
        <f ca="1">IF(ROW($N62)-5&lt;RSI_Periods, "", AVERAGE(INDIRECT(ADDRESS(ROW($N62)-RSI_Periods +1, MATCH("Upmove", Price_Header,0))): INDIRECT(ADDRESS(ROW($N62),MATCH("Upmove", Price_Header,0)))))</f>
        <v>9.9285714285714324E-2</v>
      </c>
      <c r="Q62" s="46">
        <f ca="1">IF(ROW($O62)-5&lt;RSI_Periods, "", AVERAGE(INDIRECT(ADDRESS(ROW($O62)-RSI_Periods +1, MATCH("Downmove", Price_Header,0))): INDIRECT(ADDRESS(ROW($O62),MATCH("Downmove", Price_Header,0)))))</f>
        <v>4.642857142857152E-2</v>
      </c>
      <c r="R62" s="46">
        <f ca="1">IF(tbl_SPXS[[#This Row],[Avg_Upmove]]="", "", tbl_SPXS[[#This Row],[Avg_Upmove]]/tbl_SPXS[[#This Row],[Avg_Downmove]])</f>
        <v>2.1384615384615349</v>
      </c>
      <c r="S62" s="10">
        <f ca="1">IF(ROW($N62)-4&lt;BB_Periods, "", _xlfn.STDEV.S(INDIRECT(ADDRESS(ROW($F62)-RSI_Periods +1, MATCH("Adj Close", Price_Header,0))): INDIRECT(ADDRESS(ROW($F62),MATCH("Adj Close", Price_Header,0)))))</f>
        <v>0.32750807388755848</v>
      </c>
    </row>
    <row r="63" spans="1:19" x14ac:dyDescent="0.35">
      <c r="A63" s="8">
        <v>44134</v>
      </c>
      <c r="B63" s="10">
        <v>6</v>
      </c>
      <c r="C63" s="10">
        <v>6.3</v>
      </c>
      <c r="D63" s="10">
        <v>5.91</v>
      </c>
      <c r="E63" s="10">
        <v>6.09</v>
      </c>
      <c r="F63" s="10">
        <v>6.09</v>
      </c>
      <c r="G63">
        <v>63402900</v>
      </c>
      <c r="H63" s="10">
        <f>IF(tbl_SPXS[[#This Row],[Date]]=$A$5, $F63, EMA_Beta*$H62 + (1-EMA_Beta)*$F63)</f>
        <v>5.5609944485625791</v>
      </c>
      <c r="I63" s="46">
        <f ca="1">IF(tbl_SPXS[[#This Row],[RS]]= "", "", 100-(100/(1+tbl_SPXS[[#This Row],[RS]])))</f>
        <v>79.899497487437145</v>
      </c>
      <c r="J63" s="10">
        <f ca="1">IF(ROW($N63)-4&lt;BB_Periods, "", AVERAGE(INDIRECT(ADDRESS(ROW($F63)-RSI_Periods +1, MATCH("Adj Close", Price_Header,0))): INDIRECT(ADDRESS(ROW($F63),MATCH("Adj Close", Price_Header,0)))))</f>
        <v>5.415</v>
      </c>
      <c r="K63" s="10">
        <f ca="1">IF(tbl_SPXS[[#This Row],[BB_Mean]]="", "", tbl_SPXS[[#This Row],[BB_Mean]]+(BB_Width*tbl_SPXS[[#This Row],[BB_Stdev]]))</f>
        <v>6.1352456845784262</v>
      </c>
      <c r="L63" s="10">
        <f ca="1">IF(tbl_SPXS[[#This Row],[BB_Mean]]="", "", tbl_SPXS[[#This Row],[BB_Mean]]-(BB_Width*tbl_SPXS[[#This Row],[BB_Stdev]]))</f>
        <v>4.6947543154215738</v>
      </c>
      <c r="M63" s="46">
        <f>IF(ROW(tbl_SPXS[[#This Row],[Adj Close]])=5, 0, $F63-$F62)</f>
        <v>0.20000000000000018</v>
      </c>
      <c r="N63" s="46">
        <f>MAX(tbl_SPXS[[#This Row],[Move]],0)</f>
        <v>0.20000000000000018</v>
      </c>
      <c r="O63" s="46">
        <f>MAX(-tbl_SPXS[[#This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0.11357142857142863</v>
      </c>
      <c r="Q63" s="46">
        <f ca="1">IF(ROW($O63)-5&lt;RSI_Periods, "", AVERAGE(INDIRECT(ADDRESS(ROW($O63)-RSI_Periods +1, MATCH("Downmove", Price_Header,0))): INDIRECT(ADDRESS(ROW($O63),MATCH("Downmove", Price_Header,0)))))</f>
        <v>2.8571428571428661E-2</v>
      </c>
      <c r="R63" s="46">
        <f ca="1">IF(tbl_SPXS[[#This Row],[Avg_Upmove]]="", "", tbl_SPXS[[#This Row],[Avg_Upmove]]/tbl_SPXS[[#This Row],[Avg_Downmove]])</f>
        <v>3.9749999999999894</v>
      </c>
      <c r="S63" s="10">
        <f ca="1">IF(ROW($N63)-4&lt;BB_Periods, "", _xlfn.STDEV.S(INDIRECT(ADDRESS(ROW($F63)-RSI_Periods +1, MATCH("Adj Close", Price_Header,0))): INDIRECT(ADDRESS(ROW($F63),MATCH("Adj Close", Price_Header,0)))))</f>
        <v>0.36012284228921321</v>
      </c>
    </row>
    <row r="64" spans="1:19" x14ac:dyDescent="0.35">
      <c r="A64" s="8">
        <v>44137</v>
      </c>
      <c r="B64" s="10">
        <v>5.89</v>
      </c>
      <c r="C64" s="10">
        <v>6.05</v>
      </c>
      <c r="D64" s="10">
        <v>5.76</v>
      </c>
      <c r="E64" s="10">
        <v>5.88</v>
      </c>
      <c r="F64" s="10">
        <v>5.88</v>
      </c>
      <c r="G64">
        <v>44498600</v>
      </c>
      <c r="H64" s="10">
        <f>IF(tbl_SPXS[[#This Row],[Date]]=$A$5, $F64, EMA_Beta*$H63 + (1-EMA_Beta)*$F64)</f>
        <v>5.592895003706321</v>
      </c>
      <c r="I64" s="46">
        <f ca="1">IF(tbl_SPXS[[#This Row],[RS]]= "", "", 100-(100/(1+tbl_SPXS[[#This Row],[RS]])))</f>
        <v>70.813397129186583</v>
      </c>
      <c r="J64" s="10">
        <f ca="1">IF(ROW($N64)-4&lt;BB_Periods, "", AVERAGE(INDIRECT(ADDRESS(ROW($F64)-RSI_Periods +1, MATCH("Adj Close", Price_Header,0))): INDIRECT(ADDRESS(ROW($F64),MATCH("Adj Close", Price_Header,0)))))</f>
        <v>5.4771428571428569</v>
      </c>
      <c r="K64" s="10">
        <f ca="1">IF(tbl_SPXS[[#This Row],[BB_Mean]]="", "", tbl_SPXS[[#This Row],[BB_Mean]]+(BB_Width*tbl_SPXS[[#This Row],[BB_Stdev]]))</f>
        <v>6.1969902158101089</v>
      </c>
      <c r="L64" s="10">
        <f ca="1">IF(tbl_SPXS[[#This Row],[BB_Mean]]="", "", tbl_SPXS[[#This Row],[BB_Mean]]-(BB_Width*tbl_SPXS[[#This Row],[BB_Stdev]]))</f>
        <v>4.7572954984756048</v>
      </c>
      <c r="M64" s="46">
        <f>IF(ROW(tbl_SPXS[[#This Row],[Adj Close]])=5, 0, $F64-$F63)</f>
        <v>-0.20999999999999996</v>
      </c>
      <c r="N64" s="46">
        <f>MAX(tbl_SPXS[[#This Row],[Move]],0)</f>
        <v>0</v>
      </c>
      <c r="O64" s="46">
        <f>MAX(-tbl_SPXS[[#This Row],[Move]],0)</f>
        <v>0.20999999999999996</v>
      </c>
      <c r="P64" s="46">
        <f ca="1">IF(ROW($N64)-5&lt;RSI_Periods, "", AVERAGE(INDIRECT(ADDRESS(ROW($N64)-RSI_Periods +1, MATCH("Upmove", Price_Header,0))): INDIRECT(ADDRESS(ROW($N64),MATCH("Upmove", Price_Header,0)))))</f>
        <v>0.1057142857142858</v>
      </c>
      <c r="Q64" s="46">
        <f ca="1">IF(ROW($O64)-5&lt;RSI_Periods, "", AVERAGE(INDIRECT(ADDRESS(ROW($O64)-RSI_Periods +1, MATCH("Downmove", Price_Header,0))): INDIRECT(ADDRESS(ROW($O64),MATCH("Downmove", Price_Header,0)))))</f>
        <v>4.3571428571428657E-2</v>
      </c>
      <c r="R64" s="46">
        <f ca="1">IF(tbl_SPXS[[#This Row],[Avg_Upmove]]="", "", tbl_SPXS[[#This Row],[Avg_Upmove]]/tbl_SPXS[[#This Row],[Avg_Downmove]])</f>
        <v>2.4262295081967187</v>
      </c>
      <c r="S64" s="10">
        <f ca="1">IF(ROW($N64)-4&lt;BB_Periods, "", _xlfn.STDEV.S(INDIRECT(ADDRESS(ROW($F64)-RSI_Periods +1, MATCH("Adj Close", Price_Header,0))): INDIRECT(ADDRESS(ROW($F64),MATCH("Adj Close", Price_Header,0)))))</f>
        <v>0.35992367933362612</v>
      </c>
    </row>
    <row r="65" spans="1:19" x14ac:dyDescent="0.35">
      <c r="A65" s="8">
        <v>44138</v>
      </c>
      <c r="B65" s="10">
        <v>5.69</v>
      </c>
      <c r="C65" s="10">
        <v>5.72</v>
      </c>
      <c r="D65" s="10">
        <v>5.45</v>
      </c>
      <c r="E65" s="10">
        <v>5.56</v>
      </c>
      <c r="F65" s="10">
        <v>5.56</v>
      </c>
      <c r="G65">
        <v>56310000</v>
      </c>
      <c r="H65" s="10">
        <f>IF(tbl_SPXS[[#This Row],[Date]]=$A$5, $F65, EMA_Beta*$H64 + (1-EMA_Beta)*$F65)</f>
        <v>5.5896055033356893</v>
      </c>
      <c r="I65" s="46">
        <f ca="1">IF(tbl_SPXS[[#This Row],[RS]]= "", "", 100-(100/(1+tbl_SPXS[[#This Row],[RS]])))</f>
        <v>60.085836909871233</v>
      </c>
      <c r="J65" s="10">
        <f ca="1">IF(ROW($N65)-4&lt;BB_Periods, "", AVERAGE(INDIRECT(ADDRESS(ROW($F65)-RSI_Periods +1, MATCH("Adj Close", Price_Header,0))): INDIRECT(ADDRESS(ROW($F65),MATCH("Adj Close", Price_Header,0)))))</f>
        <v>5.5107142857142861</v>
      </c>
      <c r="K65" s="10">
        <f ca="1">IF(tbl_SPXS[[#This Row],[BB_Mean]]="", "", tbl_SPXS[[#This Row],[BB_Mean]]+(BB_Width*tbl_SPXS[[#This Row],[BB_Stdev]]))</f>
        <v>6.1957842668993317</v>
      </c>
      <c r="L65" s="10">
        <f ca="1">IF(tbl_SPXS[[#This Row],[BB_Mean]]="", "", tbl_SPXS[[#This Row],[BB_Mean]]-(BB_Width*tbl_SPXS[[#This Row],[BB_Stdev]]))</f>
        <v>4.8256443045292405</v>
      </c>
      <c r="M65" s="46">
        <f>IF(ROW(tbl_SPXS[[#This Row],[Adj Close]])=5, 0, $F65-$F64)</f>
        <v>-0.32000000000000028</v>
      </c>
      <c r="N65" s="46">
        <f>MAX(tbl_SPXS[[#This Row],[Move]],0)</f>
        <v>0</v>
      </c>
      <c r="O65" s="46">
        <f>MAX(-tbl_SPXS[[#This Row],[Move]],0)</f>
        <v>0.32000000000000028</v>
      </c>
      <c r="P65" s="46">
        <f ca="1">IF(ROW($N65)-5&lt;RSI_Periods, "", AVERAGE(INDIRECT(ADDRESS(ROW($N65)-RSI_Periods +1, MATCH("Upmove", Price_Header,0))): INDIRECT(ADDRESS(ROW($N65),MATCH("Upmove", Price_Header,0)))))</f>
        <v>0.10000000000000009</v>
      </c>
      <c r="Q65" s="46">
        <f ca="1">IF(ROW($O65)-5&lt;RSI_Periods, "", AVERAGE(INDIRECT(ADDRESS(ROW($O65)-RSI_Periods +1, MATCH("Downmove", Price_Header,0))): INDIRECT(ADDRESS(ROW($O65),MATCH("Downmove", Price_Header,0)))))</f>
        <v>6.6428571428571531E-2</v>
      </c>
      <c r="R65" s="46">
        <f ca="1">IF(tbl_SPXS[[#This Row],[Avg_Upmove]]="", "", tbl_SPXS[[#This Row],[Avg_Upmove]]/tbl_SPXS[[#This Row],[Avg_Downmove]])</f>
        <v>1.5053763440860206</v>
      </c>
      <c r="S65" s="10">
        <f ca="1">IF(ROW($N65)-4&lt;BB_Periods, "", _xlfn.STDEV.S(INDIRECT(ADDRESS(ROW($F65)-RSI_Periods +1, MATCH("Adj Close", Price_Header,0))): INDIRECT(ADDRESS(ROW($F65),MATCH("Adj Close", Price_Header,0)))))</f>
        <v>0.3425349905925229</v>
      </c>
    </row>
    <row r="66" spans="1:19" x14ac:dyDescent="0.35">
      <c r="A66" s="8">
        <v>44139</v>
      </c>
      <c r="B66" s="10">
        <v>5.35</v>
      </c>
      <c r="C66" s="10">
        <v>5.39</v>
      </c>
      <c r="D66" s="10">
        <v>4.9800000000000004</v>
      </c>
      <c r="E66" s="10">
        <v>5.2</v>
      </c>
      <c r="F66" s="10">
        <v>5.2</v>
      </c>
      <c r="G66">
        <v>87615800</v>
      </c>
      <c r="H66" s="10">
        <f>IF(tbl_SPXS[[#This Row],[Date]]=$A$5, $F66, EMA_Beta*$H65 + (1-EMA_Beta)*$F66)</f>
        <v>5.55064495300212</v>
      </c>
      <c r="I66" s="46">
        <f ca="1">IF(tbl_SPXS[[#This Row],[RS]]= "", "", 100-(100/(1+tbl_SPXS[[#This Row],[RS]])))</f>
        <v>51.503759398496243</v>
      </c>
      <c r="J66" s="10">
        <f ca="1">IF(ROW($N66)-4&lt;BB_Periods, "", AVERAGE(INDIRECT(ADDRESS(ROW($F66)-RSI_Periods +1, MATCH("Adj Close", Price_Header,0))): INDIRECT(ADDRESS(ROW($F66),MATCH("Adj Close", Price_Header,0)))))</f>
        <v>5.5164285714285715</v>
      </c>
      <c r="K66" s="10">
        <f ca="1">IF(tbl_SPXS[[#This Row],[BB_Mean]]="", "", tbl_SPXS[[#This Row],[BB_Mean]]+(BB_Width*tbl_SPXS[[#This Row],[BB_Stdev]]))</f>
        <v>6.1886742748096237</v>
      </c>
      <c r="L66" s="10">
        <f ca="1">IF(tbl_SPXS[[#This Row],[BB_Mean]]="", "", tbl_SPXS[[#This Row],[BB_Mean]]-(BB_Width*tbl_SPXS[[#This Row],[BB_Stdev]]))</f>
        <v>4.8441828680475192</v>
      </c>
      <c r="M66" s="46">
        <f>IF(ROW(tbl_SPXS[[#This Row],[Adj Close]])=5, 0, $F66-$F65)</f>
        <v>-0.35999999999999943</v>
      </c>
      <c r="N66" s="46">
        <f>MAX(tbl_SPXS[[#This Row],[Move]],0)</f>
        <v>0</v>
      </c>
      <c r="O66" s="46">
        <f>MAX(-tbl_SPXS[[#This Row],[Move]],0)</f>
        <v>0.35999999999999943</v>
      </c>
      <c r="P66" s="46">
        <f ca="1">IF(ROW($N66)-5&lt;RSI_Periods, "", AVERAGE(INDIRECT(ADDRESS(ROW($N66)-RSI_Periods +1, MATCH("Upmove", Price_Header,0))): INDIRECT(ADDRESS(ROW($N66),MATCH("Upmove", Price_Header,0)))))</f>
        <v>9.7857142857142934E-2</v>
      </c>
      <c r="Q66" s="46">
        <f ca="1">IF(ROW($O66)-5&lt;RSI_Periods, "", AVERAGE(INDIRECT(ADDRESS(ROW($O66)-RSI_Periods +1, MATCH("Downmove", Price_Header,0))): INDIRECT(ADDRESS(ROW($O66),MATCH("Downmove", Price_Header,0)))))</f>
        <v>9.2142857142857207E-2</v>
      </c>
      <c r="R66" s="46">
        <f ca="1">IF(tbl_SPXS[[#This Row],[Avg_Upmove]]="", "", tbl_SPXS[[#This Row],[Avg_Upmove]]/tbl_SPXS[[#This Row],[Avg_Downmove]])</f>
        <v>1.0620155038759691</v>
      </c>
      <c r="S66" s="10">
        <f ca="1">IF(ROW($N66)-4&lt;BB_Periods, "", _xlfn.STDEV.S(INDIRECT(ADDRESS(ROW($F66)-RSI_Periods +1, MATCH("Adj Close", Price_Header,0))): INDIRECT(ADDRESS(ROW($F66),MATCH("Adj Close", Price_Header,0)))))</f>
        <v>0.33612285169052608</v>
      </c>
    </row>
    <row r="67" spans="1:19" x14ac:dyDescent="0.35">
      <c r="A67" s="8">
        <v>44140</v>
      </c>
      <c r="B67" s="10">
        <v>4.92</v>
      </c>
      <c r="C67" s="10">
        <v>4.95</v>
      </c>
      <c r="D67" s="10">
        <v>4.8</v>
      </c>
      <c r="E67" s="10">
        <v>4.88</v>
      </c>
      <c r="F67" s="10">
        <v>4.88</v>
      </c>
      <c r="G67">
        <v>54908700</v>
      </c>
      <c r="H67" s="10">
        <f>IF(tbl_SPXS[[#This Row],[Date]]=$A$5, $F67, EMA_Beta*$H66 + (1-EMA_Beta)*$F67)</f>
        <v>5.4835804577019074</v>
      </c>
      <c r="I67" s="46">
        <f ca="1">IF(tbl_SPXS[[#This Row],[RS]]= "", "", 100-(100/(1+tbl_SPXS[[#This Row],[RS]])))</f>
        <v>45.791245791245792</v>
      </c>
      <c r="J67" s="10">
        <f ca="1">IF(ROW($N67)-4&lt;BB_Periods, "", AVERAGE(INDIRECT(ADDRESS(ROW($F67)-RSI_Periods +1, MATCH("Adj Close", Price_Header,0))): INDIRECT(ADDRESS(ROW($F67),MATCH("Adj Close", Price_Header,0)))))</f>
        <v>5.4985714285714282</v>
      </c>
      <c r="K67" s="10">
        <f ca="1">IF(tbl_SPXS[[#This Row],[BB_Mean]]="", "", tbl_SPXS[[#This Row],[BB_Mean]]+(BB_Width*tbl_SPXS[[#This Row],[BB_Stdev]]))</f>
        <v>6.2260478735660261</v>
      </c>
      <c r="L67" s="10">
        <f ca="1">IF(tbl_SPXS[[#This Row],[BB_Mean]]="", "", tbl_SPXS[[#This Row],[BB_Mean]]-(BB_Width*tbl_SPXS[[#This Row],[BB_Stdev]]))</f>
        <v>4.7710949835768304</v>
      </c>
      <c r="M67" s="46">
        <f>IF(ROW(tbl_SPXS[[#This Row],[Adj Close]])=5, 0, $F67-$F66)</f>
        <v>-0.32000000000000028</v>
      </c>
      <c r="N67" s="46">
        <f>MAX(tbl_SPXS[[#This Row],[Move]],0)</f>
        <v>0</v>
      </c>
      <c r="O67" s="46">
        <f>MAX(-tbl_SPXS[[#This Row],[Move]],0)</f>
        <v>0.32000000000000028</v>
      </c>
      <c r="P67" s="46">
        <f ca="1">IF(ROW($N67)-5&lt;RSI_Periods, "", AVERAGE(INDIRECT(ADDRESS(ROW($N67)-RSI_Periods +1, MATCH("Upmove", Price_Header,0))): INDIRECT(ADDRESS(ROW($N67),MATCH("Upmove", Price_Header,0)))))</f>
        <v>9.7142857142857225E-2</v>
      </c>
      <c r="Q67" s="46">
        <f ca="1">IF(ROW($O67)-5&lt;RSI_Periods, "", AVERAGE(INDIRECT(ADDRESS(ROW($O67)-RSI_Periods +1, MATCH("Downmove", Price_Header,0))): INDIRECT(ADDRESS(ROW($O67),MATCH("Downmove", Price_Header,0)))))</f>
        <v>0.11500000000000009</v>
      </c>
      <c r="R67" s="46">
        <f ca="1">IF(tbl_SPXS[[#This Row],[Avg_Upmove]]="", "", tbl_SPXS[[#This Row],[Avg_Upmove]]/tbl_SPXS[[#This Row],[Avg_Downmove]])</f>
        <v>0.84472049689440998</v>
      </c>
      <c r="S67" s="10">
        <f ca="1">IF(ROW($N67)-4&lt;BB_Periods, "", _xlfn.STDEV.S(INDIRECT(ADDRESS(ROW($F67)-RSI_Periods +1, MATCH("Adj Close", Price_Header,0))): INDIRECT(ADDRESS(ROW($F67),MATCH("Adj Close", Price_Header,0)))))</f>
        <v>0.36373822249729881</v>
      </c>
    </row>
    <row r="68" spans="1:19" x14ac:dyDescent="0.35">
      <c r="A68" s="8">
        <v>44141</v>
      </c>
      <c r="B68" s="10">
        <v>4.8899999999999997</v>
      </c>
      <c r="C68" s="10">
        <v>5</v>
      </c>
      <c r="D68" s="10">
        <v>4.84</v>
      </c>
      <c r="E68" s="10">
        <v>4.88</v>
      </c>
      <c r="F68" s="10">
        <v>4.88</v>
      </c>
      <c r="G68">
        <v>35728600</v>
      </c>
      <c r="H68" s="10">
        <f>IF(tbl_SPXS[[#This Row],[Date]]=$A$5, $F68, EMA_Beta*$H67 + (1-EMA_Beta)*$F68)</f>
        <v>5.4232224119317163</v>
      </c>
      <c r="I68" s="46">
        <f ca="1">IF(tbl_SPXS[[#This Row],[RS]]= "", "", 100-(100/(1+tbl_SPXS[[#This Row],[RS]])))</f>
        <v>41.240875912408754</v>
      </c>
      <c r="J68" s="10">
        <f ca="1">IF(ROW($N68)-4&lt;BB_Periods, "", AVERAGE(INDIRECT(ADDRESS(ROW($F68)-RSI_Periods +1, MATCH("Adj Close", Price_Header,0))): INDIRECT(ADDRESS(ROW($F68),MATCH("Adj Close", Price_Header,0)))))</f>
        <v>5.4642857142857135</v>
      </c>
      <c r="K68" s="10">
        <f ca="1">IF(tbl_SPXS[[#This Row],[BB_Mean]]="", "", tbl_SPXS[[#This Row],[BB_Mean]]+(BB_Width*tbl_SPXS[[#This Row],[BB_Stdev]]))</f>
        <v>6.261770772191138</v>
      </c>
      <c r="L68" s="10">
        <f ca="1">IF(tbl_SPXS[[#This Row],[BB_Mean]]="", "", tbl_SPXS[[#This Row],[BB_Mean]]-(BB_Width*tbl_SPXS[[#This Row],[BB_Stdev]]))</f>
        <v>4.6668006563802891</v>
      </c>
      <c r="M68" s="46">
        <f>IF(ROW(tbl_SPXS[[#This Row],[Adj Close]])=5, 0, $F68-$F67)</f>
        <v>0</v>
      </c>
      <c r="N68" s="46">
        <f>MAX(tbl_SPXS[[#This Row],[Move]],0)</f>
        <v>0</v>
      </c>
      <c r="O68" s="46">
        <f>MAX(-tbl_SPXS[[#This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8.0714285714285766E-2</v>
      </c>
      <c r="Q68" s="46">
        <f ca="1">IF(ROW($O68)-5&lt;RSI_Periods, "", AVERAGE(INDIRECT(ADDRESS(ROW($O68)-RSI_Periods +1, MATCH("Downmove", Price_Header,0))): INDIRECT(ADDRESS(ROW($O68),MATCH("Downmove", Price_Header,0)))))</f>
        <v>0.11500000000000009</v>
      </c>
      <c r="R68" s="46">
        <f ca="1">IF(tbl_SPXS[[#This Row],[Avg_Upmove]]="", "", tbl_SPXS[[#This Row],[Avg_Upmove]]/tbl_SPXS[[#This Row],[Avg_Downmove]])</f>
        <v>0.70186335403726696</v>
      </c>
      <c r="S68" s="10">
        <f ca="1">IF(ROW($N68)-4&lt;BB_Periods, "", _xlfn.STDEV.S(INDIRECT(ADDRESS(ROW($F68)-RSI_Periods +1, MATCH("Adj Close", Price_Header,0))): INDIRECT(ADDRESS(ROW($F68),MATCH("Adj Close", Price_Header,0)))))</f>
        <v>0.39874252895271201</v>
      </c>
    </row>
    <row r="69" spans="1:19" x14ac:dyDescent="0.35">
      <c r="A69" s="8">
        <v>44144</v>
      </c>
      <c r="B69" s="10">
        <v>4.3</v>
      </c>
      <c r="C69" s="10">
        <v>4.7300000000000004</v>
      </c>
      <c r="D69" s="10">
        <v>4.29</v>
      </c>
      <c r="E69" s="10">
        <v>4.71</v>
      </c>
      <c r="F69" s="10">
        <v>4.71</v>
      </c>
      <c r="G69">
        <v>63019800</v>
      </c>
      <c r="H69" s="10">
        <f>IF(tbl_SPXS[[#This Row],[Date]]=$A$5, $F69, EMA_Beta*$H68 + (1-EMA_Beta)*$F69)</f>
        <v>5.3519001707385447</v>
      </c>
      <c r="I69" s="46">
        <f ca="1">IF(tbl_SPXS[[#This Row],[RS]]= "", "", 100-(100/(1+tbl_SPXS[[#This Row],[RS]])))</f>
        <v>39.649122807017555</v>
      </c>
      <c r="J69" s="10">
        <f ca="1">IF(ROW($N69)-4&lt;BB_Periods, "", AVERAGE(INDIRECT(ADDRESS(ROW($F69)-RSI_Periods +1, MATCH("Adj Close", Price_Header,0))): INDIRECT(ADDRESS(ROW($F69),MATCH("Adj Close", Price_Header,0)))))</f>
        <v>5.4221428571428572</v>
      </c>
      <c r="K69" s="10">
        <f ca="1">IF(tbl_SPXS[[#This Row],[BB_Mean]]="", "", tbl_SPXS[[#This Row],[BB_Mean]]+(BB_Width*tbl_SPXS[[#This Row],[BB_Stdev]]))</f>
        <v>6.3138198794373155</v>
      </c>
      <c r="L69" s="10">
        <f ca="1">IF(tbl_SPXS[[#This Row],[BB_Mean]]="", "", tbl_SPXS[[#This Row],[BB_Mean]]-(BB_Width*tbl_SPXS[[#This Row],[BB_Stdev]]))</f>
        <v>4.5304658348483988</v>
      </c>
      <c r="M69" s="46">
        <f>IF(ROW(tbl_SPXS[[#This Row],[Adj Close]])=5, 0, $F69-$F68)</f>
        <v>-0.16999999999999993</v>
      </c>
      <c r="N69" s="46">
        <f>MAX(tbl_SPXS[[#This Row],[Move]],0)</f>
        <v>0</v>
      </c>
      <c r="O69" s="46">
        <f>MAX(-tbl_SPXS[[#This Row],[Move]],0)</f>
        <v>0.16999999999999993</v>
      </c>
      <c r="P69" s="46">
        <f ca="1">IF(ROW($N69)-5&lt;RSI_Periods, "", AVERAGE(INDIRECT(ADDRESS(ROW($N69)-RSI_Periods +1, MATCH("Upmove", Price_Header,0))): INDIRECT(ADDRESS(ROW($N69),MATCH("Upmove", Price_Header,0)))))</f>
        <v>8.0714285714285766E-2</v>
      </c>
      <c r="Q69" s="46">
        <f ca="1">IF(ROW($O69)-5&lt;RSI_Periods, "", AVERAGE(INDIRECT(ADDRESS(ROW($O69)-RSI_Periods +1, MATCH("Downmove", Price_Header,0))): INDIRECT(ADDRESS(ROW($O69),MATCH("Downmove", Price_Header,0)))))</f>
        <v>0.1228571428571429</v>
      </c>
      <c r="R69" s="46">
        <f ca="1">IF(tbl_SPXS[[#This Row],[Avg_Upmove]]="", "", tbl_SPXS[[#This Row],[Avg_Upmove]]/tbl_SPXS[[#This Row],[Avg_Downmove]])</f>
        <v>0.65697674418604668</v>
      </c>
      <c r="S69" s="10">
        <f ca="1">IF(ROW($N69)-4&lt;BB_Periods, "", _xlfn.STDEV.S(INDIRECT(ADDRESS(ROW($F69)-RSI_Periods +1, MATCH("Adj Close", Price_Header,0))): INDIRECT(ADDRESS(ROW($F69),MATCH("Adj Close", Price_Header,0)))))</f>
        <v>0.44583851114722917</v>
      </c>
    </row>
    <row r="70" spans="1:19" x14ac:dyDescent="0.35">
      <c r="A70" s="8">
        <v>44145</v>
      </c>
      <c r="B70" s="10">
        <v>4.76</v>
      </c>
      <c r="C70" s="10">
        <v>4.87</v>
      </c>
      <c r="D70" s="10">
        <v>4.68</v>
      </c>
      <c r="E70" s="10">
        <v>4.72</v>
      </c>
      <c r="F70" s="10">
        <v>4.72</v>
      </c>
      <c r="G70">
        <v>43019500</v>
      </c>
      <c r="H70" s="10">
        <f>IF(tbl_SPXS[[#This Row],[Date]]=$A$5, $F70, EMA_Beta*$H69 + (1-EMA_Beta)*$F70)</f>
        <v>5.2887101536646899</v>
      </c>
      <c r="I70" s="46">
        <f ca="1">IF(tbl_SPXS[[#This Row],[RS]]= "", "", 100-(100/(1+tbl_SPXS[[#This Row],[RS]])))</f>
        <v>39.222614840989394</v>
      </c>
      <c r="J70" s="10">
        <f ca="1">IF(ROW($N70)-4&lt;BB_Periods, "", AVERAGE(INDIRECT(ADDRESS(ROW($F70)-RSI_Periods +1, MATCH("Adj Close", Price_Header,0))): INDIRECT(ADDRESS(ROW($F70),MATCH("Adj Close", Price_Header,0)))))</f>
        <v>5.3785714285714281</v>
      </c>
      <c r="K70" s="10">
        <f ca="1">IF(tbl_SPXS[[#This Row],[BB_Mean]]="", "", tbl_SPXS[[#This Row],[BB_Mean]]+(BB_Width*tbl_SPXS[[#This Row],[BB_Stdev]]))</f>
        <v>6.3460378149597148</v>
      </c>
      <c r="L70" s="10">
        <f ca="1">IF(tbl_SPXS[[#This Row],[BB_Mean]]="", "", tbl_SPXS[[#This Row],[BB_Mean]]-(BB_Width*tbl_SPXS[[#This Row],[BB_Stdev]]))</f>
        <v>4.4111050421831415</v>
      </c>
      <c r="M70" s="46">
        <f>IF(ROW(tbl_SPXS[[#This Row],[Adj Close]])=5, 0, $F70-$F69)</f>
        <v>9.9999999999997868E-3</v>
      </c>
      <c r="N70" s="46">
        <f>MAX(tbl_SPXS[[#This Row],[Move]],0)</f>
        <v>9.9999999999997868E-3</v>
      </c>
      <c r="O70" s="46">
        <f>MAX(-tbl_SPXS[[#This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7.9285714285714307E-2</v>
      </c>
      <c r="Q70" s="46">
        <f ca="1">IF(ROW($O70)-5&lt;RSI_Periods, "", AVERAGE(INDIRECT(ADDRESS(ROW($O70)-RSI_Periods +1, MATCH("Downmove", Price_Header,0))): INDIRECT(ADDRESS(ROW($O70),MATCH("Downmove", Price_Header,0)))))</f>
        <v>0.1228571428571429</v>
      </c>
      <c r="R70" s="46">
        <f ca="1">IF(tbl_SPXS[[#This Row],[Avg_Upmove]]="", "", tbl_SPXS[[#This Row],[Avg_Upmove]]/tbl_SPXS[[#This Row],[Avg_Downmove]])</f>
        <v>0.64534883720930225</v>
      </c>
      <c r="S70" s="10">
        <f ca="1">IF(ROW($N70)-4&lt;BB_Periods, "", _xlfn.STDEV.S(INDIRECT(ADDRESS(ROW($F70)-RSI_Periods +1, MATCH("Adj Close", Price_Header,0))): INDIRECT(ADDRESS(ROW($F70),MATCH("Adj Close", Price_Header,0)))))</f>
        <v>0.4837331931941431</v>
      </c>
    </row>
    <row r="71" spans="1:19" x14ac:dyDescent="0.35">
      <c r="A71" s="8">
        <v>44146</v>
      </c>
      <c r="B71" s="10">
        <v>4.6399999999999997</v>
      </c>
      <c r="C71" s="10">
        <v>4.6900000000000004</v>
      </c>
      <c r="D71" s="10">
        <v>4.58</v>
      </c>
      <c r="E71" s="10">
        <v>4.63</v>
      </c>
      <c r="F71" s="10">
        <v>4.63</v>
      </c>
      <c r="G71">
        <v>27431300</v>
      </c>
      <c r="H71" s="10">
        <f>IF(tbl_SPXS[[#This Row],[Date]]=$A$5, $F71, EMA_Beta*$H70 + (1-EMA_Beta)*$F71)</f>
        <v>5.2228391382982213</v>
      </c>
      <c r="I71" s="46">
        <f ca="1">IF(tbl_SPXS[[#This Row],[RS]]= "", "", 100-(100/(1+tbl_SPXS[[#This Row],[RS]])))</f>
        <v>39.222614840989394</v>
      </c>
      <c r="J71" s="10">
        <f ca="1">IF(ROW($N71)-4&lt;BB_Periods, "", AVERAGE(INDIRECT(ADDRESS(ROW($F71)-RSI_Periods +1, MATCH("Adj Close", Price_Header,0))): INDIRECT(ADDRESS(ROW($F71),MATCH("Adj Close", Price_Header,0)))))</f>
        <v>5.3350000000000009</v>
      </c>
      <c r="K71" s="10">
        <f ca="1">IF(tbl_SPXS[[#This Row],[BB_Mean]]="", "", tbl_SPXS[[#This Row],[BB_Mean]]+(BB_Width*tbl_SPXS[[#This Row],[BB_Stdev]]))</f>
        <v>6.3810989804617337</v>
      </c>
      <c r="L71" s="10">
        <f ca="1">IF(tbl_SPXS[[#This Row],[BB_Mean]]="", "", tbl_SPXS[[#This Row],[BB_Mean]]-(BB_Width*tbl_SPXS[[#This Row],[BB_Stdev]]))</f>
        <v>4.288901019538268</v>
      </c>
      <c r="M71" s="46">
        <f>IF(ROW(tbl_SPXS[[#This Row],[Adj Close]])=5, 0, $F71-$F70)</f>
        <v>-8.9999999999999858E-2</v>
      </c>
      <c r="N71" s="46">
        <f>MAX(tbl_SPXS[[#This Row],[Move]],0)</f>
        <v>0</v>
      </c>
      <c r="O71" s="46">
        <f>MAX(-tbl_SPXS[[#This Row],[Move]],0)</f>
        <v>8.9999999999999858E-2</v>
      </c>
      <c r="P71" s="46">
        <f ca="1">IF(ROW($N71)-5&lt;RSI_Periods, "", AVERAGE(INDIRECT(ADDRESS(ROW($N71)-RSI_Periods +1, MATCH("Upmove", Price_Header,0))): INDIRECT(ADDRESS(ROW($N71),MATCH("Upmove", Price_Header,0)))))</f>
        <v>7.9285714285714307E-2</v>
      </c>
      <c r="Q71" s="46">
        <f ca="1">IF(ROW($O71)-5&lt;RSI_Periods, "", AVERAGE(INDIRECT(ADDRESS(ROW($O71)-RSI_Periods +1, MATCH("Downmove", Price_Header,0))): INDIRECT(ADDRESS(ROW($O71),MATCH("Downmove", Price_Header,0)))))</f>
        <v>0.1228571428571429</v>
      </c>
      <c r="R71" s="46">
        <f ca="1">IF(tbl_SPXS[[#This Row],[Avg_Upmove]]="", "", tbl_SPXS[[#This Row],[Avg_Upmove]]/tbl_SPXS[[#This Row],[Avg_Downmove]])</f>
        <v>0.64534883720930225</v>
      </c>
      <c r="S71" s="10">
        <f ca="1">IF(ROW($N71)-4&lt;BB_Periods, "", _xlfn.STDEV.S(INDIRECT(ADDRESS(ROW($F71)-RSI_Periods +1, MATCH("Adj Close", Price_Header,0))): INDIRECT(ADDRESS(ROW($F71),MATCH("Adj Close", Price_Header,0)))))</f>
        <v>0.52304949023086644</v>
      </c>
    </row>
    <row r="72" spans="1:19" x14ac:dyDescent="0.35">
      <c r="A72" s="8">
        <v>44147</v>
      </c>
      <c r="B72" s="10">
        <v>4.67</v>
      </c>
      <c r="C72" s="10">
        <v>4.83</v>
      </c>
      <c r="D72" s="10">
        <v>4.63</v>
      </c>
      <c r="E72" s="10">
        <v>4.76</v>
      </c>
      <c r="F72" s="10">
        <v>4.76</v>
      </c>
      <c r="G72">
        <v>49900700</v>
      </c>
      <c r="H72" s="10">
        <f>IF(tbl_SPXS[[#This Row],[Date]]=$A$5, $F72, EMA_Beta*$H71 + (1-EMA_Beta)*$F72)</f>
        <v>5.176555224468399</v>
      </c>
      <c r="I72" s="46">
        <f ca="1">IF(tbl_SPXS[[#This Row],[RS]]= "", "", 100-(100/(1+tbl_SPXS[[#This Row],[RS]])))</f>
        <v>42.758620689655181</v>
      </c>
      <c r="J72" s="10">
        <f ca="1">IF(ROW($N72)-4&lt;BB_Periods, "", AVERAGE(INDIRECT(ADDRESS(ROW($F72)-RSI_Periods +1, MATCH("Adj Close", Price_Header,0))): INDIRECT(ADDRESS(ROW($F72),MATCH("Adj Close", Price_Header,0)))))</f>
        <v>5.3050000000000006</v>
      </c>
      <c r="K72" s="10">
        <f ca="1">IF(tbl_SPXS[[#This Row],[BB_Mean]]="", "", tbl_SPXS[[#This Row],[BB_Mean]]+(BB_Width*tbl_SPXS[[#This Row],[BB_Stdev]]))</f>
        <v>6.3934781189278063</v>
      </c>
      <c r="L72" s="10">
        <f ca="1">IF(tbl_SPXS[[#This Row],[BB_Mean]]="", "", tbl_SPXS[[#This Row],[BB_Mean]]-(BB_Width*tbl_SPXS[[#This Row],[BB_Stdev]]))</f>
        <v>4.2165218810721949</v>
      </c>
      <c r="M72" s="46">
        <f>IF(ROW(tbl_SPXS[[#This Row],[Adj Close]])=5, 0, $F72-$F71)</f>
        <v>0.12999999999999989</v>
      </c>
      <c r="N72" s="46">
        <f>MAX(tbl_SPXS[[#This Row],[Move]],0)</f>
        <v>0.12999999999999989</v>
      </c>
      <c r="O72" s="46">
        <f>MAX(-tbl_SPXS[[#This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8.8571428571428593E-2</v>
      </c>
      <c r="Q72" s="46">
        <f ca="1">IF(ROW($O72)-5&lt;RSI_Periods, "", AVERAGE(INDIRECT(ADDRESS(ROW($O72)-RSI_Periods +1, MATCH("Downmove", Price_Header,0))): INDIRECT(ADDRESS(ROW($O72),MATCH("Downmove", Price_Header,0)))))</f>
        <v>0.11857142857142858</v>
      </c>
      <c r="R72" s="46">
        <f ca="1">IF(tbl_SPXS[[#This Row],[Avg_Upmove]]="", "", tbl_SPXS[[#This Row],[Avg_Upmove]]/tbl_SPXS[[#This Row],[Avg_Downmove]])</f>
        <v>0.7469879518072291</v>
      </c>
      <c r="S72" s="10">
        <f ca="1">IF(ROW($N72)-4&lt;BB_Periods, "", _xlfn.STDEV.S(INDIRECT(ADDRESS(ROW($F72)-RSI_Periods +1, MATCH("Adj Close", Price_Header,0))): INDIRECT(ADDRESS(ROW($F72),MATCH("Adj Close", Price_Header,0)))))</f>
        <v>0.54423905946390305</v>
      </c>
    </row>
    <row r="73" spans="1:19" x14ac:dyDescent="0.35">
      <c r="A73" s="8">
        <v>44148</v>
      </c>
      <c r="B73" s="10">
        <v>4.67</v>
      </c>
      <c r="C73" s="10">
        <v>4.7</v>
      </c>
      <c r="D73" s="10">
        <v>4.5199999999999996</v>
      </c>
      <c r="E73" s="10">
        <v>4.5599999999999996</v>
      </c>
      <c r="F73" s="10">
        <v>4.5599999999999996</v>
      </c>
      <c r="G73">
        <v>33807400</v>
      </c>
      <c r="H73" s="10">
        <f>IF(tbl_SPXS[[#This Row],[Date]]=$A$5, $F73, EMA_Beta*$H72 + (1-EMA_Beta)*$F73)</f>
        <v>5.1148997020215585</v>
      </c>
      <c r="I73" s="46">
        <f ca="1">IF(tbl_SPXS[[#This Row],[RS]]= "", "", 100-(100/(1+tbl_SPXS[[#This Row],[RS]])))</f>
        <v>34.042553191489361</v>
      </c>
      <c r="J73" s="10">
        <f ca="1">IF(ROW($N73)-4&lt;BB_Periods, "", AVERAGE(INDIRECT(ADDRESS(ROW($F73)-RSI_Periods +1, MATCH("Adj Close", Price_Header,0))): INDIRECT(ADDRESS(ROW($F73),MATCH("Adj Close", Price_Header,0)))))</f>
        <v>5.2407142857142874</v>
      </c>
      <c r="K73" s="10">
        <f ca="1">IF(tbl_SPXS[[#This Row],[BB_Mean]]="", "", tbl_SPXS[[#This Row],[BB_Mean]]+(BB_Width*tbl_SPXS[[#This Row],[BB_Stdev]]))</f>
        <v>6.3941296631767823</v>
      </c>
      <c r="L73" s="10">
        <f ca="1">IF(tbl_SPXS[[#This Row],[BB_Mean]]="", "", tbl_SPXS[[#This Row],[BB_Mean]]-(BB_Width*tbl_SPXS[[#This Row],[BB_Stdev]]))</f>
        <v>4.0872989082517925</v>
      </c>
      <c r="M73" s="46">
        <f>IF(ROW(tbl_SPXS[[#This Row],[Adj Close]])=5, 0, $F73-$F72)</f>
        <v>-0.20000000000000018</v>
      </c>
      <c r="N73" s="46">
        <f>MAX(tbl_SPXS[[#This Row],[Move]],0)</f>
        <v>0</v>
      </c>
      <c r="O73" s="46">
        <f>MAX(-tbl_SPXS[[#This Row],[Move]],0)</f>
        <v>0.20000000000000018</v>
      </c>
      <c r="P73" s="46">
        <f ca="1">IF(ROW($N73)-5&lt;RSI_Periods, "", AVERAGE(INDIRECT(ADDRESS(ROW($N73)-RSI_Periods +1, MATCH("Upmove", Price_Header,0))): INDIRECT(ADDRESS(ROW($N73),MATCH("Upmove", Price_Header,0)))))</f>
        <v>6.8571428571428575E-2</v>
      </c>
      <c r="Q73" s="46">
        <f ca="1">IF(ROW($O73)-5&lt;RSI_Periods, "", AVERAGE(INDIRECT(ADDRESS(ROW($O73)-RSI_Periods +1, MATCH("Downmove", Price_Header,0))): INDIRECT(ADDRESS(ROW($O73),MATCH("Downmove", Price_Header,0)))))</f>
        <v>0.13285714285714287</v>
      </c>
      <c r="R73" s="46">
        <f ca="1">IF(tbl_SPXS[[#This Row],[Avg_Upmove]]="", "", tbl_SPXS[[#This Row],[Avg_Upmove]]/tbl_SPXS[[#This Row],[Avg_Downmove]])</f>
        <v>0.5161290322580645</v>
      </c>
      <c r="S73" s="10">
        <f ca="1">IF(ROW($N73)-4&lt;BB_Periods, "", _xlfn.STDEV.S(INDIRECT(ADDRESS(ROW($F73)-RSI_Periods +1, MATCH("Adj Close", Price_Header,0))): INDIRECT(ADDRESS(ROW($F73),MATCH("Adj Close", Price_Header,0)))))</f>
        <v>0.57670768873124767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SUBTOTAL(103,tbl_SPXS[BB_Stdev])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74"/>
  <sheetViews>
    <sheetView topLeftCell="A63" workbookViewId="0">
      <selection activeCell="A74" sqref="A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319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85.050003000000004</v>
      </c>
      <c r="C5" s="10">
        <v>85.160004000000001</v>
      </c>
      <c r="D5" s="10">
        <v>79.319999999999993</v>
      </c>
      <c r="E5" s="10">
        <v>82.239998</v>
      </c>
      <c r="F5" s="10">
        <v>82.239998</v>
      </c>
      <c r="G5">
        <v>70536100</v>
      </c>
      <c r="H5" s="10">
        <f>IF(tbl_AMD[[#This Row],[Date]]=$A$5, $F5, EMA_Beta*$H4 + (1-EMA_Beta)*$F5)</f>
        <v>82.239998</v>
      </c>
      <c r="I5" s="46" t="str">
        <f ca="1">IF(tbl_AMD[[#This Row],[RS]]= "", "", 100-(100/(1+tbl_AMD[[#This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IF(tbl_AMD[[#This Row],[BB_Mean]]="", "", tbl_AMD[[#This Row],[BB_Mean]]+(BB_Width*tbl_AMD[[#This Row],[BB_Stdev]]))</f>
        <v/>
      </c>
      <c r="L5" s="10" t="str">
        <f ca="1">IF(tbl_AMD[[#This Row],[BB_Mean]]="", "", tbl_AMD[[#This Row],[BB_Mean]]-(BB_Width*tbl_AMD[[#This Row],[BB_Stdev]]))</f>
        <v/>
      </c>
      <c r="M5" s="46">
        <f>IF(ROW(tbl_AMD[[#This Row],[Adj Close]])=5, 0, $F5-$F4)</f>
        <v>0</v>
      </c>
      <c r="N5" s="46">
        <f>MAX(tbl_AMD[[#This Row],[Move]],0)</f>
        <v>0</v>
      </c>
      <c r="O5" s="46">
        <f>MAX(-tbl_AMD[[#This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IF(tbl_AMD[[#This Row],[Avg_Upmove]]="", "", tbl_AMD[[#This Row],[Avg_Upmove]]/tbl_AMD[[#This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80.709998999999996</v>
      </c>
      <c r="C6" s="10">
        <v>80.709998999999996</v>
      </c>
      <c r="D6" s="10">
        <v>76.099997999999999</v>
      </c>
      <c r="E6" s="10">
        <v>76.879997000000003</v>
      </c>
      <c r="F6" s="10">
        <v>76.879997000000003</v>
      </c>
      <c r="G6">
        <v>77877700</v>
      </c>
      <c r="H6" s="10">
        <f>IF(tbl_AMD[[#This Row],[Date]]=$A$5, $F6, EMA_Beta*$H5 + (1-EMA_Beta)*$F6)</f>
        <v>81.70399789999999</v>
      </c>
      <c r="I6" s="46" t="str">
        <f ca="1">IF(tbl_AMD[[#This Row],[RS]]= "", "", 100-(100/(1+tbl_AMD[[#This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IF(tbl_AMD[[#This Row],[BB_Mean]]="", "", tbl_AMD[[#This Row],[BB_Mean]]+(BB_Width*tbl_AMD[[#This Row],[BB_Stdev]]))</f>
        <v/>
      </c>
      <c r="L6" s="10" t="str">
        <f ca="1">IF(tbl_AMD[[#This Row],[BB_Mean]]="", "", tbl_AMD[[#This Row],[BB_Mean]]-(BB_Width*tbl_AMD[[#This Row],[BB_Stdev]]))</f>
        <v/>
      </c>
      <c r="M6" s="46">
        <f>IF(ROW(tbl_AMD[[#This Row],[Adj Close]])=5, 0, $F6-$F5)</f>
        <v>-5.3600009999999969</v>
      </c>
      <c r="N6" s="46">
        <f>MAX(tbl_AMD[[#This Row],[Move]],0)</f>
        <v>0</v>
      </c>
      <c r="O6" s="46">
        <f>MAX(-tbl_AMD[[#This Row],[Move]],0)</f>
        <v>5.3600009999999969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IF(tbl_AMD[[#This Row],[Avg_Upmove]]="", "", tbl_AMD[[#This Row],[Avg_Upmove]]/tbl_AMD[[#This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78.430000000000007</v>
      </c>
      <c r="C7" s="10">
        <v>82.879997000000003</v>
      </c>
      <c r="D7" s="10">
        <v>77.550003000000004</v>
      </c>
      <c r="E7" s="10">
        <v>82.610000999999997</v>
      </c>
      <c r="F7" s="10">
        <v>82.610000999999997</v>
      </c>
      <c r="G7">
        <v>88607800</v>
      </c>
      <c r="H7" s="10">
        <f>IF(tbl_AMD[[#This Row],[Date]]=$A$5, $F7, EMA_Beta*$H6 + (1-EMA_Beta)*$F7)</f>
        <v>81.794598210000004</v>
      </c>
      <c r="I7" s="46" t="str">
        <f ca="1">IF(tbl_AMD[[#This Row],[RS]]= "", "", 100-(100/(1+tbl_AMD[[#This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IF(tbl_AMD[[#This Row],[BB_Mean]]="", "", tbl_AMD[[#This Row],[BB_Mean]]+(BB_Width*tbl_AMD[[#This Row],[BB_Stdev]]))</f>
        <v/>
      </c>
      <c r="L7" s="10" t="str">
        <f ca="1">IF(tbl_AMD[[#This Row],[BB_Mean]]="", "", tbl_AMD[[#This Row],[BB_Mean]]-(BB_Width*tbl_AMD[[#This Row],[BB_Stdev]]))</f>
        <v/>
      </c>
      <c r="M7" s="46">
        <f>IF(ROW(tbl_AMD[[#This Row],[Adj Close]])=5, 0, $F7-$F6)</f>
        <v>5.7300039999999939</v>
      </c>
      <c r="N7" s="46">
        <f>MAX(tbl_AMD[[#This Row],[Move]],0)</f>
        <v>5.7300039999999939</v>
      </c>
      <c r="O7" s="46">
        <f>MAX(-tbl_AMD[[#This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IF(tbl_AMD[[#This Row],[Avg_Upmove]]="", "", tbl_AMD[[#This Row],[Avg_Upmove]]/tbl_AMD[[#This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82.879997000000003</v>
      </c>
      <c r="C8" s="10">
        <v>84.019997000000004</v>
      </c>
      <c r="D8" s="10">
        <v>81.540001000000004</v>
      </c>
      <c r="E8" s="10">
        <v>81.839995999999999</v>
      </c>
      <c r="F8" s="10">
        <v>81.839995999999999</v>
      </c>
      <c r="G8">
        <v>57407400</v>
      </c>
      <c r="H8" s="10">
        <f>IF(tbl_AMD[[#This Row],[Date]]=$A$5, $F8, EMA_Beta*$H7 + (1-EMA_Beta)*$F8)</f>
        <v>81.799137989000002</v>
      </c>
      <c r="I8" s="46" t="str">
        <f ca="1">IF(tbl_AMD[[#This Row],[RS]]= "", "", 100-(100/(1+tbl_AMD[[#This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IF(tbl_AMD[[#This Row],[BB_Mean]]="", "", tbl_AMD[[#This Row],[BB_Mean]]+(BB_Width*tbl_AMD[[#This Row],[BB_Stdev]]))</f>
        <v/>
      </c>
      <c r="L8" s="10" t="str">
        <f ca="1">IF(tbl_AMD[[#This Row],[BB_Mean]]="", "", tbl_AMD[[#This Row],[BB_Mean]]-(BB_Width*tbl_AMD[[#This Row],[BB_Stdev]]))</f>
        <v/>
      </c>
      <c r="M8" s="46">
        <f>IF(ROW(tbl_AMD[[#This Row],[Adj Close]])=5, 0, $F8-$F7)</f>
        <v>-0.77000499999999761</v>
      </c>
      <c r="N8" s="46">
        <f>MAX(tbl_AMD[[#This Row],[Move]],0)</f>
        <v>0</v>
      </c>
      <c r="O8" s="46">
        <f>MAX(-tbl_AMD[[#This Row],[Move]],0)</f>
        <v>0.77000499999999761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IF(tbl_AMD[[#This Row],[Avg_Upmove]]="", "", tbl_AMD[[#This Row],[Avg_Upmove]]/tbl_AMD[[#This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81.809997999999993</v>
      </c>
      <c r="C9" s="10">
        <v>83.239998</v>
      </c>
      <c r="D9" s="10">
        <v>80.879997000000003</v>
      </c>
      <c r="E9" s="10">
        <v>81.300003000000004</v>
      </c>
      <c r="F9" s="10">
        <v>81.300003000000004</v>
      </c>
      <c r="G9">
        <v>42389500</v>
      </c>
      <c r="H9" s="10">
        <f>IF(tbl_AMD[[#This Row],[Date]]=$A$5, $F9, EMA_Beta*$H8 + (1-EMA_Beta)*$F9)</f>
        <v>81.749224490100005</v>
      </c>
      <c r="I9" s="46" t="str">
        <f ca="1">IF(tbl_AMD[[#This Row],[RS]]= "", "", 100-(100/(1+tbl_AMD[[#This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IF(tbl_AMD[[#This Row],[BB_Mean]]="", "", tbl_AMD[[#This Row],[BB_Mean]]+(BB_Width*tbl_AMD[[#This Row],[BB_Stdev]]))</f>
        <v/>
      </c>
      <c r="L9" s="10" t="str">
        <f ca="1">IF(tbl_AMD[[#This Row],[BB_Mean]]="", "", tbl_AMD[[#This Row],[BB_Mean]]-(BB_Width*tbl_AMD[[#This Row],[BB_Stdev]]))</f>
        <v/>
      </c>
      <c r="M9" s="46">
        <f>IF(ROW(tbl_AMD[[#This Row],[Adj Close]])=5, 0, $F9-$F8)</f>
        <v>-0.5399929999999955</v>
      </c>
      <c r="N9" s="46">
        <f>MAX(tbl_AMD[[#This Row],[Move]],0)</f>
        <v>0</v>
      </c>
      <c r="O9" s="46">
        <f>MAX(-tbl_AMD[[#This Row],[Move]],0)</f>
        <v>0.5399929999999955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IF(tbl_AMD[[#This Row],[Avg_Upmove]]="", "", tbl_AMD[[#This Row],[Avg_Upmove]]/tbl_AMD[[#This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82.089995999999999</v>
      </c>
      <c r="C10" s="10">
        <v>83.059997999999993</v>
      </c>
      <c r="D10" s="10">
        <v>81.550003000000004</v>
      </c>
      <c r="E10" s="10">
        <v>82.419998000000007</v>
      </c>
      <c r="F10" s="10">
        <v>82.419998000000007</v>
      </c>
      <c r="G10">
        <v>31450200</v>
      </c>
      <c r="H10" s="10">
        <f>IF(tbl_AMD[[#This Row],[Date]]=$A$5, $F10, EMA_Beta*$H9 + (1-EMA_Beta)*$F10)</f>
        <v>81.816301841090009</v>
      </c>
      <c r="I10" s="46" t="str">
        <f ca="1">IF(tbl_AMD[[#This Row],[RS]]= "", "", 100-(100/(1+tbl_AMD[[#This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IF(tbl_AMD[[#This Row],[BB_Mean]]="", "", tbl_AMD[[#This Row],[BB_Mean]]+(BB_Width*tbl_AMD[[#This Row],[BB_Stdev]]))</f>
        <v/>
      </c>
      <c r="L10" s="10" t="str">
        <f ca="1">IF(tbl_AMD[[#This Row],[BB_Mean]]="", "", tbl_AMD[[#This Row],[BB_Mean]]-(BB_Width*tbl_AMD[[#This Row],[BB_Stdev]]))</f>
        <v/>
      </c>
      <c r="M10" s="46">
        <f>IF(ROW(tbl_AMD[[#This Row],[Adj Close]])=5, 0, $F10-$F9)</f>
        <v>1.119995000000003</v>
      </c>
      <c r="N10" s="46">
        <f>MAX(tbl_AMD[[#This Row],[Move]],0)</f>
        <v>1.119995000000003</v>
      </c>
      <c r="O10" s="46">
        <f>MAX(-tbl_AMD[[#This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IF(tbl_AMD[[#This Row],[Avg_Upmove]]="", "", tbl_AMD[[#This Row],[Avg_Upmove]]/tbl_AMD[[#This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82.800003000000004</v>
      </c>
      <c r="C11" s="10">
        <v>82.879997000000003</v>
      </c>
      <c r="D11" s="10">
        <v>81.029999000000004</v>
      </c>
      <c r="E11" s="10">
        <v>81.660004000000001</v>
      </c>
      <c r="F11" s="10">
        <v>81.660004000000001</v>
      </c>
      <c r="G11">
        <v>30970500</v>
      </c>
      <c r="H11" s="10">
        <f>IF(tbl_AMD[[#This Row],[Date]]=$A$5, $F11, EMA_Beta*$H10 + (1-EMA_Beta)*$F11)</f>
        <v>81.800672056981014</v>
      </c>
      <c r="I11" s="46" t="str">
        <f ca="1">IF(tbl_AMD[[#This Row],[RS]]= "", "", 100-(100/(1+tbl_AMD[[#This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IF(tbl_AMD[[#This Row],[BB_Mean]]="", "", tbl_AMD[[#This Row],[BB_Mean]]+(BB_Width*tbl_AMD[[#This Row],[BB_Stdev]]))</f>
        <v/>
      </c>
      <c r="L11" s="10" t="str">
        <f ca="1">IF(tbl_AMD[[#This Row],[BB_Mean]]="", "", tbl_AMD[[#This Row],[BB_Mean]]-(BB_Width*tbl_AMD[[#This Row],[BB_Stdev]]))</f>
        <v/>
      </c>
      <c r="M11" s="46">
        <f>IF(ROW(tbl_AMD[[#This Row],[Adj Close]])=5, 0, $F11-$F10)</f>
        <v>-0.75999400000000605</v>
      </c>
      <c r="N11" s="46">
        <f>MAX(tbl_AMD[[#This Row],[Move]],0)</f>
        <v>0</v>
      </c>
      <c r="O11" s="46">
        <f>MAX(-tbl_AMD[[#This Row],[Move]],0)</f>
        <v>0.75999400000000605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IF(tbl_AMD[[#This Row],[Avg_Upmove]]="", "", tbl_AMD[[#This Row],[Avg_Upmove]]/tbl_AMD[[#This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81.779999000000004</v>
      </c>
      <c r="C12" s="10">
        <v>81.849997999999999</v>
      </c>
      <c r="D12" s="10">
        <v>80.449996999999996</v>
      </c>
      <c r="E12" s="10">
        <v>81.089995999999999</v>
      </c>
      <c r="F12" s="10">
        <v>81.089995999999999</v>
      </c>
      <c r="G12">
        <v>37507400</v>
      </c>
      <c r="H12" s="10">
        <f>IF(tbl_AMD[[#This Row],[Date]]=$A$5, $F12, EMA_Beta*$H11 + (1-EMA_Beta)*$F12)</f>
        <v>81.729604451282924</v>
      </c>
      <c r="I12" s="46" t="str">
        <f ca="1">IF(tbl_AMD[[#This Row],[RS]]= "", "", 100-(100/(1+tbl_AMD[[#This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IF(tbl_AMD[[#This Row],[BB_Mean]]="", "", tbl_AMD[[#This Row],[BB_Mean]]+(BB_Width*tbl_AMD[[#This Row],[BB_Stdev]]))</f>
        <v/>
      </c>
      <c r="L12" s="10" t="str">
        <f ca="1">IF(tbl_AMD[[#This Row],[BB_Mean]]="", "", tbl_AMD[[#This Row],[BB_Mean]]-(BB_Width*tbl_AMD[[#This Row],[BB_Stdev]]))</f>
        <v/>
      </c>
      <c r="M12" s="46">
        <f>IF(ROW(tbl_AMD[[#This Row],[Adj Close]])=5, 0, $F12-$F11)</f>
        <v>-0.5700080000000014</v>
      </c>
      <c r="N12" s="46">
        <f>MAX(tbl_AMD[[#This Row],[Move]],0)</f>
        <v>0</v>
      </c>
      <c r="O12" s="46">
        <f>MAX(-tbl_AMD[[#This Row],[Move]],0)</f>
        <v>0.5700080000000014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IF(tbl_AMD[[#This Row],[Avg_Upmove]]="", "", tbl_AMD[[#This Row],[Avg_Upmove]]/tbl_AMD[[#This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79.739998</v>
      </c>
      <c r="C13" s="10">
        <v>82.839995999999999</v>
      </c>
      <c r="D13" s="10">
        <v>79.120002999999997</v>
      </c>
      <c r="E13" s="10">
        <v>82.769997000000004</v>
      </c>
      <c r="F13" s="10">
        <v>82.769997000000004</v>
      </c>
      <c r="G13">
        <v>42948900</v>
      </c>
      <c r="H13" s="10">
        <f>IF(tbl_AMD[[#This Row],[Date]]=$A$5, $F13, EMA_Beta*$H12 + (1-EMA_Beta)*$F13)</f>
        <v>81.833643706154632</v>
      </c>
      <c r="I13" s="46" t="str">
        <f ca="1">IF(tbl_AMD[[#This Row],[RS]]= "", "", 100-(100/(1+tbl_AMD[[#This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IF(tbl_AMD[[#This Row],[BB_Mean]]="", "", tbl_AMD[[#This Row],[BB_Mean]]+(BB_Width*tbl_AMD[[#This Row],[BB_Stdev]]))</f>
        <v/>
      </c>
      <c r="L13" s="10" t="str">
        <f ca="1">IF(tbl_AMD[[#This Row],[BB_Mean]]="", "", tbl_AMD[[#This Row],[BB_Mean]]-(BB_Width*tbl_AMD[[#This Row],[BB_Stdev]]))</f>
        <v/>
      </c>
      <c r="M13" s="46">
        <f>IF(ROW(tbl_AMD[[#This Row],[Adj Close]])=5, 0, $F13-$F12)</f>
        <v>1.6800010000000043</v>
      </c>
      <c r="N13" s="46">
        <f>MAX(tbl_AMD[[#This Row],[Move]],0)</f>
        <v>1.6800010000000043</v>
      </c>
      <c r="O13" s="46">
        <f>MAX(-tbl_AMD[[#This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IF(tbl_AMD[[#This Row],[Avg_Upmove]]="", "", tbl_AMD[[#This Row],[Avg_Upmove]]/tbl_AMD[[#This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83.290001000000004</v>
      </c>
      <c r="C14" s="10">
        <v>84.410004000000001</v>
      </c>
      <c r="D14" s="10">
        <v>82.230002999999996</v>
      </c>
      <c r="E14" s="10">
        <v>83.809997999999993</v>
      </c>
      <c r="F14" s="10">
        <v>83.809997999999993</v>
      </c>
      <c r="G14">
        <v>48280300</v>
      </c>
      <c r="H14" s="10">
        <f>IF(tbl_AMD[[#This Row],[Date]]=$A$5, $F14, EMA_Beta*$H13 + (1-EMA_Beta)*$F14)</f>
        <v>82.031279135539165</v>
      </c>
      <c r="I14" s="46" t="str">
        <f ca="1">IF(tbl_AMD[[#This Row],[RS]]= "", "", 100-(100/(1+tbl_AMD[[#This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IF(tbl_AMD[[#This Row],[BB_Mean]]="", "", tbl_AMD[[#This Row],[BB_Mean]]+(BB_Width*tbl_AMD[[#This Row],[BB_Stdev]]))</f>
        <v/>
      </c>
      <c r="L14" s="10" t="str">
        <f ca="1">IF(tbl_AMD[[#This Row],[BB_Mean]]="", "", tbl_AMD[[#This Row],[BB_Mean]]-(BB_Width*tbl_AMD[[#This Row],[BB_Stdev]]))</f>
        <v/>
      </c>
      <c r="M14" s="46">
        <f>IF(ROW(tbl_AMD[[#This Row],[Adj Close]])=5, 0, $F14-$F13)</f>
        <v>1.0400009999999895</v>
      </c>
      <c r="N14" s="46">
        <f>MAX(tbl_AMD[[#This Row],[Move]],0)</f>
        <v>1.0400009999999895</v>
      </c>
      <c r="O14" s="46">
        <f>MAX(-tbl_AMD[[#This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IF(tbl_AMD[[#This Row],[Avg_Upmove]]="", "", tbl_AMD[[#This Row],[Avg_Upmove]]/tbl_AMD[[#This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84.550003000000004</v>
      </c>
      <c r="C15" s="10">
        <v>85.330001999999993</v>
      </c>
      <c r="D15" s="10">
        <v>82.550003000000004</v>
      </c>
      <c r="E15" s="10">
        <v>83.080001999999993</v>
      </c>
      <c r="F15" s="10">
        <v>83.080001999999993</v>
      </c>
      <c r="G15">
        <v>38036100</v>
      </c>
      <c r="H15" s="10">
        <f>IF(tbl_AMD[[#This Row],[Date]]=$A$5, $F15, EMA_Beta*$H14 + (1-EMA_Beta)*$F15)</f>
        <v>82.136151421985247</v>
      </c>
      <c r="I15" s="46" t="str">
        <f ca="1">IF(tbl_AMD[[#This Row],[RS]]= "", "", 100-(100/(1+tbl_AMD[[#This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IF(tbl_AMD[[#This Row],[BB_Mean]]="", "", tbl_AMD[[#This Row],[BB_Mean]]+(BB_Width*tbl_AMD[[#This Row],[BB_Stdev]]))</f>
        <v/>
      </c>
      <c r="L15" s="10" t="str">
        <f ca="1">IF(tbl_AMD[[#This Row],[BB_Mean]]="", "", tbl_AMD[[#This Row],[BB_Mean]]-(BB_Width*tbl_AMD[[#This Row],[BB_Stdev]]))</f>
        <v/>
      </c>
      <c r="M15" s="46">
        <f>IF(ROW(tbl_AMD[[#This Row],[Adj Close]])=5, 0, $F15-$F14)</f>
        <v>-0.72999599999999987</v>
      </c>
      <c r="N15" s="46">
        <f>MAX(tbl_AMD[[#This Row],[Move]],0)</f>
        <v>0</v>
      </c>
      <c r="O15" s="46">
        <f>MAX(-tbl_AMD[[#This Row],[Move]],0)</f>
        <v>0.72999599999999987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IF(tbl_AMD[[#This Row],[Avg_Upmove]]="", "", tbl_AMD[[#This Row],[Avg_Upmove]]/tbl_AMD[[#This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83.360000999999997</v>
      </c>
      <c r="C16" s="10">
        <v>86.620002999999997</v>
      </c>
      <c r="D16" s="10">
        <v>82.349997999999999</v>
      </c>
      <c r="E16" s="10">
        <v>86.349997999999999</v>
      </c>
      <c r="F16" s="10">
        <v>86.349997999999999</v>
      </c>
      <c r="G16">
        <v>49234400</v>
      </c>
      <c r="H16" s="10">
        <f>IF(tbl_AMD[[#This Row],[Date]]=$A$5, $F16, EMA_Beta*$H15 + (1-EMA_Beta)*$F16)</f>
        <v>82.557536079786729</v>
      </c>
      <c r="I16" s="46" t="str">
        <f ca="1">IF(tbl_AMD[[#This Row],[RS]]= "", "", 100-(100/(1+tbl_AMD[[#This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IF(tbl_AMD[[#This Row],[BB_Mean]]="", "", tbl_AMD[[#This Row],[BB_Mean]]+(BB_Width*tbl_AMD[[#This Row],[BB_Stdev]]))</f>
        <v/>
      </c>
      <c r="L16" s="10" t="str">
        <f ca="1">IF(tbl_AMD[[#This Row],[BB_Mean]]="", "", tbl_AMD[[#This Row],[BB_Mean]]-(BB_Width*tbl_AMD[[#This Row],[BB_Stdev]]))</f>
        <v/>
      </c>
      <c r="M16" s="46">
        <f>IF(ROW(tbl_AMD[[#This Row],[Adj Close]])=5, 0, $F16-$F15)</f>
        <v>3.2699960000000061</v>
      </c>
      <c r="N16" s="46">
        <f>MAX(tbl_AMD[[#This Row],[Move]],0)</f>
        <v>3.2699960000000061</v>
      </c>
      <c r="O16" s="46">
        <f>MAX(-tbl_AMD[[#This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IF(tbl_AMD[[#This Row],[Avg_Upmove]]="", "", tbl_AMD[[#This Row],[Avg_Upmove]]/tbl_AMD[[#This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86.970000999999996</v>
      </c>
      <c r="C17" s="10">
        <v>87.720000999999996</v>
      </c>
      <c r="D17" s="10">
        <v>85.199996999999996</v>
      </c>
      <c r="E17" s="10">
        <v>86.019997000000004</v>
      </c>
      <c r="F17" s="10">
        <v>86.019997000000004</v>
      </c>
      <c r="G17">
        <v>47157300</v>
      </c>
      <c r="H17" s="10">
        <f>IF(tbl_AMD[[#This Row],[Date]]=$A$5, $F17, EMA_Beta*$H16 + (1-EMA_Beta)*$F17)</f>
        <v>82.903782171808047</v>
      </c>
      <c r="I17" s="46" t="str">
        <f ca="1">IF(tbl_AMD[[#This Row],[RS]]= "", "", 100-(100/(1+tbl_AMD[[#This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IF(tbl_AMD[[#This Row],[BB_Mean]]="", "", tbl_AMD[[#This Row],[BB_Mean]]+(BB_Width*tbl_AMD[[#This Row],[BB_Stdev]]))</f>
        <v/>
      </c>
      <c r="L17" s="10" t="str">
        <f ca="1">IF(tbl_AMD[[#This Row],[BB_Mean]]="", "", tbl_AMD[[#This Row],[BB_Mean]]-(BB_Width*tbl_AMD[[#This Row],[BB_Stdev]]))</f>
        <v/>
      </c>
      <c r="M17" s="46">
        <f>IF(ROW(tbl_AMD[[#This Row],[Adj Close]])=5, 0, $F17-$F16)</f>
        <v>-0.33000099999999577</v>
      </c>
      <c r="N17" s="46">
        <f>MAX(tbl_AMD[[#This Row],[Move]],0)</f>
        <v>0</v>
      </c>
      <c r="O17" s="46">
        <f>MAX(-tbl_AMD[[#This Row],[Move]],0)</f>
        <v>0.33000099999999577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IF(tbl_AMD[[#This Row],[Avg_Upmove]]="", "", tbl_AMD[[#This Row],[Avg_Upmove]]/tbl_AMD[[#This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86.349997999999999</v>
      </c>
      <c r="C18" s="10">
        <v>86.580001999999993</v>
      </c>
      <c r="D18" s="10">
        <v>82.940002000000007</v>
      </c>
      <c r="E18" s="10">
        <v>83.800003000000004</v>
      </c>
      <c r="F18" s="10">
        <v>83.800003000000004</v>
      </c>
      <c r="G18">
        <v>42194200</v>
      </c>
      <c r="H18" s="10">
        <f>IF(tbl_AMD[[#This Row],[Date]]=$A$5, $F18, EMA_Beta*$H17 + (1-EMA_Beta)*$F18)</f>
        <v>82.993404254627251</v>
      </c>
      <c r="I18" s="46" t="str">
        <f ca="1">IF(tbl_AMD[[#This Row],[RS]]= "", "", 100-(100/(1+tbl_AMD[[#This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82.562142000000009</v>
      </c>
      <c r="K18" s="10">
        <f ca="1">IF(tbl_AMD[[#This Row],[BB_Mean]]="", "", tbl_AMD[[#This Row],[BB_Mean]]+(BB_Width*tbl_AMD[[#This Row],[BB_Stdev]]))</f>
        <v>87.109805538255088</v>
      </c>
      <c r="L18" s="10">
        <f ca="1">IF(tbl_AMD[[#This Row],[BB_Mean]]="", "", tbl_AMD[[#This Row],[BB_Mean]]-(BB_Width*tbl_AMD[[#This Row],[BB_Stdev]]))</f>
        <v>78.014478461744929</v>
      </c>
      <c r="M18" s="46">
        <f>IF(ROW(tbl_AMD[[#This Row],[Adj Close]])=5, 0, $F18-$F17)</f>
        <v>-2.2199939999999998</v>
      </c>
      <c r="N18" s="46">
        <f>MAX(tbl_AMD[[#This Row],[Move]],0)</f>
        <v>0</v>
      </c>
      <c r="O18" s="46">
        <f>MAX(-tbl_AMD[[#This Row],[Move]],0)</f>
        <v>2.2199939999999998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IF(tbl_AMD[[#This Row],[Avg_Upmove]]="", "", tbl_AMD[[#This Row],[Avg_Upmove]]/tbl_AMD[[#This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2.273831769127542</v>
      </c>
    </row>
    <row r="19" spans="1:19" x14ac:dyDescent="0.35">
      <c r="A19" s="8">
        <v>44071</v>
      </c>
      <c r="B19" s="10">
        <v>84.300003000000004</v>
      </c>
      <c r="C19" s="10">
        <v>86.040001000000004</v>
      </c>
      <c r="D19" s="10">
        <v>84.190002000000007</v>
      </c>
      <c r="E19" s="10">
        <v>85.550003000000004</v>
      </c>
      <c r="F19" s="10">
        <v>85.550003000000004</v>
      </c>
      <c r="G19">
        <v>40723300</v>
      </c>
      <c r="H19" s="10">
        <f>IF(tbl_AMD[[#This Row],[Date]]=$A$5, $F19, EMA_Beta*$H18 + (1-EMA_Beta)*$F19)</f>
        <v>83.249064129164537</v>
      </c>
      <c r="I19" s="46">
        <f ca="1">IF(tbl_AMD[[#This Row],[RS]]= "", "", 100-(100/(1+tbl_AMD[[#This Row],[RS]])))</f>
        <v>56.397383856637909</v>
      </c>
      <c r="J19" s="10">
        <f ca="1">IF(ROW($N19)-4&lt;BB_Periods, "", AVERAGE(INDIRECT(ADDRESS(ROW($F19)-RSI_Periods +1, MATCH("Adj Close", Price_Header,0))): INDIRECT(ADDRESS(ROW($F19),MATCH("Adj Close", Price_Header,0)))))</f>
        <v>82.798570928571436</v>
      </c>
      <c r="K19" s="10">
        <f ca="1">IF(tbl_AMD[[#This Row],[BB_Mean]]="", "", tbl_AMD[[#This Row],[BB_Mean]]+(BB_Width*tbl_AMD[[#This Row],[BB_Stdev]]))</f>
        <v>87.610575070416544</v>
      </c>
      <c r="L19" s="10">
        <f ca="1">IF(tbl_AMD[[#This Row],[BB_Mean]]="", "", tbl_AMD[[#This Row],[BB_Mean]]-(BB_Width*tbl_AMD[[#This Row],[BB_Stdev]]))</f>
        <v>77.986566786726328</v>
      </c>
      <c r="M19" s="46">
        <f>IF(ROW(tbl_AMD[[#This Row],[Adj Close]])=5, 0, $F19-$F18)</f>
        <v>1.75</v>
      </c>
      <c r="N19" s="46">
        <f>MAX(tbl_AMD[[#This Row],[Move]],0)</f>
        <v>1.75</v>
      </c>
      <c r="O19" s="46">
        <f>MAX(-tbl_AMD[[#This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1.0421426428571425</v>
      </c>
      <c r="Q19" s="46">
        <f ca="1">IF(ROW($O19)-5&lt;RSI_Periods, "", AVERAGE(INDIRECT(ADDRESS(ROW($O19)-RSI_Periods +1, MATCH("Downmove", Price_Header,0))): INDIRECT(ADDRESS(ROW($O19),MATCH("Downmove", Price_Header,0)))))</f>
        <v>0.80571371428571381</v>
      </c>
      <c r="R19" s="46">
        <f ca="1">IF(tbl_AMD[[#This Row],[Avg_Upmove]]="", "", tbl_AMD[[#This Row],[Avg_Upmove]]/tbl_AMD[[#This Row],[Avg_Downmove]])</f>
        <v>1.2934403676882045</v>
      </c>
      <c r="S19" s="10">
        <f ca="1">IF(ROW($N19)-4&lt;BB_Periods, "", _xlfn.STDEV.S(INDIRECT(ADDRESS(ROW($F19)-RSI_Periods +1, MATCH("Adj Close", Price_Header,0))): INDIRECT(ADDRESS(ROW($F19),MATCH("Adj Close", Price_Header,0)))))</f>
        <v>2.4060020709225518</v>
      </c>
    </row>
    <row r="20" spans="1:19" x14ac:dyDescent="0.35">
      <c r="A20" s="8">
        <v>44074</v>
      </c>
      <c r="B20" s="10">
        <v>85.050003000000004</v>
      </c>
      <c r="C20" s="10">
        <v>92.639999000000003</v>
      </c>
      <c r="D20" s="10">
        <v>85.050003000000004</v>
      </c>
      <c r="E20" s="10">
        <v>90.82</v>
      </c>
      <c r="F20" s="10">
        <v>90.82</v>
      </c>
      <c r="G20">
        <v>90655900</v>
      </c>
      <c r="H20" s="10">
        <f>IF(tbl_AMD[[#This Row],[Date]]=$A$5, $F20, EMA_Beta*$H19 + (1-EMA_Beta)*$F20)</f>
        <v>84.006157716248083</v>
      </c>
      <c r="I20" s="46">
        <f ca="1">IF(tbl_AMD[[#This Row],[RS]]= "", "", 100-(100/(1+tbl_AMD[[#This Row],[RS]])))</f>
        <v>77.036483923477846</v>
      </c>
      <c r="J20" s="10">
        <f ca="1">IF(ROW($N20)-4&lt;BB_Periods, "", AVERAGE(INDIRECT(ADDRESS(ROW($F20)-RSI_Periods +1, MATCH("Adj Close", Price_Header,0))): INDIRECT(ADDRESS(ROW($F20),MATCH("Adj Close", Price_Header,0)))))</f>
        <v>83.794285428571442</v>
      </c>
      <c r="K20" s="10">
        <f ca="1">IF(tbl_AMD[[#This Row],[BB_Mean]]="", "", tbl_AMD[[#This Row],[BB_Mean]]+(BB_Width*tbl_AMD[[#This Row],[BB_Stdev]]))</f>
        <v>89.076724883436896</v>
      </c>
      <c r="L20" s="10">
        <f ca="1">IF(tbl_AMD[[#This Row],[BB_Mean]]="", "", tbl_AMD[[#This Row],[BB_Mean]]-(BB_Width*tbl_AMD[[#This Row],[BB_Stdev]]))</f>
        <v>78.511845973705988</v>
      </c>
      <c r="M20" s="46">
        <f>IF(ROW(tbl_AMD[[#This Row],[Adj Close]])=5, 0, $F20-$F19)</f>
        <v>5.2699969999999894</v>
      </c>
      <c r="N20" s="46">
        <f>MAX(tbl_AMD[[#This Row],[Move]],0)</f>
        <v>5.2699969999999894</v>
      </c>
      <c r="O20" s="46">
        <f>MAX(-tbl_AMD[[#This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1.4185709999999989</v>
      </c>
      <c r="Q20" s="46">
        <f ca="1">IF(ROW($O20)-5&lt;RSI_Periods, "", AVERAGE(INDIRECT(ADDRESS(ROW($O20)-RSI_Periods +1, MATCH("Downmove", Price_Header,0))): INDIRECT(ADDRESS(ROW($O20),MATCH("Downmove", Price_Header,0)))))</f>
        <v>0.42285649999999969</v>
      </c>
      <c r="R20" s="46">
        <f ca="1">IF(tbl_AMD[[#This Row],[Avg_Upmove]]="", "", tbl_AMD[[#This Row],[Avg_Upmove]]/tbl_AMD[[#This Row],[Avg_Downmove]])</f>
        <v>3.3547338163183018</v>
      </c>
      <c r="S20" s="10">
        <f ca="1">IF(ROW($N20)-4&lt;BB_Periods, "", _xlfn.STDEV.S(INDIRECT(ADDRESS(ROW($F20)-RSI_Periods +1, MATCH("Adj Close", Price_Header,0))): INDIRECT(ADDRESS(ROW($F20),MATCH("Adj Close", Price_Header,0)))))</f>
        <v>2.6412197274327243</v>
      </c>
    </row>
    <row r="21" spans="1:19" x14ac:dyDescent="0.35">
      <c r="A21" s="8">
        <v>44075</v>
      </c>
      <c r="B21" s="10">
        <v>91.919998000000007</v>
      </c>
      <c r="C21" s="10">
        <v>92.510002</v>
      </c>
      <c r="D21" s="10">
        <v>90.190002000000007</v>
      </c>
      <c r="E21" s="10">
        <v>92.18</v>
      </c>
      <c r="F21" s="10">
        <v>92.18</v>
      </c>
      <c r="G21">
        <v>56117100</v>
      </c>
      <c r="H21" s="10">
        <f>IF(tbl_AMD[[#This Row],[Date]]=$A$5, $F21, EMA_Beta*$H20 + (1-EMA_Beta)*$F21)</f>
        <v>84.823541944623287</v>
      </c>
      <c r="I21" s="46">
        <f ca="1">IF(tbl_AMD[[#This Row],[RS]]= "", "", 100-(100/(1+tbl_AMD[[#This Row],[RS]])))</f>
        <v>72.349386951814694</v>
      </c>
      <c r="J21" s="10">
        <f ca="1">IF(ROW($N21)-4&lt;BB_Periods, "", AVERAGE(INDIRECT(ADDRESS(ROW($F21)-RSI_Periods +1, MATCH("Adj Close", Price_Header,0))): INDIRECT(ADDRESS(ROW($F21),MATCH("Adj Close", Price_Header,0)))))</f>
        <v>84.477856785714295</v>
      </c>
      <c r="K21" s="10">
        <f ca="1">IF(tbl_AMD[[#This Row],[BB_Mean]]="", "", tbl_AMD[[#This Row],[BB_Mean]]+(BB_Width*tbl_AMD[[#This Row],[BB_Stdev]]))</f>
        <v>91.340564111834865</v>
      </c>
      <c r="L21" s="10">
        <f ca="1">IF(tbl_AMD[[#This Row],[BB_Mean]]="", "", tbl_AMD[[#This Row],[BB_Mean]]-(BB_Width*tbl_AMD[[#This Row],[BB_Stdev]]))</f>
        <v>77.615149459593724</v>
      </c>
      <c r="M21" s="46">
        <f>IF(ROW(tbl_AMD[[#This Row],[Adj Close]])=5, 0, $F21-$F20)</f>
        <v>1.3600000000000136</v>
      </c>
      <c r="N21" s="46">
        <f>MAX(tbl_AMD[[#This Row],[Move]],0)</f>
        <v>1.3600000000000136</v>
      </c>
      <c r="O21" s="46">
        <f>MAX(-tbl_AMD[[#This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1.1064278571428576</v>
      </c>
      <c r="Q21" s="46">
        <f ca="1">IF(ROW($O21)-5&lt;RSI_Periods, "", AVERAGE(INDIRECT(ADDRESS(ROW($O21)-RSI_Periods +1, MATCH("Downmove", Price_Header,0))): INDIRECT(ADDRESS(ROW($O21),MATCH("Downmove", Price_Header,0)))))</f>
        <v>0.42285649999999969</v>
      </c>
      <c r="R21" s="46">
        <f ca="1">IF(tbl_AMD[[#This Row],[Avg_Upmove]]="", "", tbl_AMD[[#This Row],[Avg_Upmove]]/tbl_AMD[[#This Row],[Avg_Downmove]])</f>
        <v>2.6165563427376863</v>
      </c>
      <c r="S21" s="10">
        <f ca="1">IF(ROW($N21)-4&lt;BB_Periods, "", _xlfn.STDEV.S(INDIRECT(ADDRESS(ROW($F21)-RSI_Periods +1, MATCH("Adj Close", Price_Header,0))): INDIRECT(ADDRESS(ROW($F21),MATCH("Adj Close", Price_Header,0)))))</f>
        <v>3.4313536630602881</v>
      </c>
    </row>
    <row r="22" spans="1:19" x14ac:dyDescent="0.35">
      <c r="A22" s="8">
        <v>44076</v>
      </c>
      <c r="B22" s="10">
        <v>94.010002</v>
      </c>
      <c r="C22" s="10">
        <v>94.279999000000004</v>
      </c>
      <c r="D22" s="10">
        <v>88.739998</v>
      </c>
      <c r="E22" s="10">
        <v>90.220000999999996</v>
      </c>
      <c r="F22" s="10">
        <v>90.220000999999996</v>
      </c>
      <c r="G22">
        <v>50366900</v>
      </c>
      <c r="H22" s="10">
        <f>IF(tbl_AMD[[#This Row],[Date]]=$A$5, $F22, EMA_Beta*$H21 + (1-EMA_Beta)*$F22)</f>
        <v>85.363187850160955</v>
      </c>
      <c r="I22" s="46">
        <f ca="1">IF(tbl_AMD[[#This Row],[RS]]= "", "", 100-(100/(1+tbl_AMD[[#This Row],[RS]])))</f>
        <v>68.539854579485137</v>
      </c>
      <c r="J22" s="10">
        <f ca="1">IF(ROW($N22)-4&lt;BB_Periods, "", AVERAGE(INDIRECT(ADDRESS(ROW($F22)-RSI_Periods +1, MATCH("Adj Close", Price_Header,0))): INDIRECT(ADDRESS(ROW($F22),MATCH("Adj Close", Price_Header,0)))))</f>
        <v>85.076428571428565</v>
      </c>
      <c r="K22" s="10">
        <f ca="1">IF(tbl_AMD[[#This Row],[BB_Mean]]="", "", tbl_AMD[[#This Row],[BB_Mean]]+(BB_Width*tbl_AMD[[#This Row],[BB_Stdev]]))</f>
        <v>92.394736900305702</v>
      </c>
      <c r="L22" s="10">
        <f ca="1">IF(tbl_AMD[[#This Row],[BB_Mean]]="", "", tbl_AMD[[#This Row],[BB_Mean]]-(BB_Width*tbl_AMD[[#This Row],[BB_Stdev]]))</f>
        <v>77.758120242551428</v>
      </c>
      <c r="M22" s="46">
        <f>IF(ROW(tbl_AMD[[#This Row],[Adj Close]])=5, 0, $F22-$F21)</f>
        <v>-1.9599990000000105</v>
      </c>
      <c r="N22" s="46">
        <f>MAX(tbl_AMD[[#This Row],[Move]],0)</f>
        <v>0</v>
      </c>
      <c r="O22" s="46">
        <f>MAX(-tbl_AMD[[#This Row],[Move]],0)</f>
        <v>1.9599990000000105</v>
      </c>
      <c r="P22" s="46">
        <f ca="1">IF(ROW($N22)-5&lt;RSI_Periods, "", AVERAGE(INDIRECT(ADDRESS(ROW($N22)-RSI_Periods +1, MATCH("Upmove", Price_Header,0))): INDIRECT(ADDRESS(ROW($N22),MATCH("Upmove", Price_Header,0)))))</f>
        <v>1.1064278571428576</v>
      </c>
      <c r="Q22" s="46">
        <f ca="1">IF(ROW($O22)-5&lt;RSI_Periods, "", AVERAGE(INDIRECT(ADDRESS(ROW($O22)-RSI_Periods +1, MATCH("Downmove", Price_Header,0))): INDIRECT(ADDRESS(ROW($O22),MATCH("Downmove", Price_Header,0)))))</f>
        <v>0.50785607142857203</v>
      </c>
      <c r="R22" s="46">
        <f ca="1">IF(tbl_AMD[[#This Row],[Avg_Upmove]]="", "", tbl_AMD[[#This Row],[Avg_Upmove]]/tbl_AMD[[#This Row],[Avg_Downmove]])</f>
        <v>2.1786248494195117</v>
      </c>
      <c r="S22" s="10">
        <f ca="1">IF(ROW($N22)-4&lt;BB_Periods, "", _xlfn.STDEV.S(INDIRECT(ADDRESS(ROW($F22)-RSI_Periods +1, MATCH("Adj Close", Price_Header,0))): INDIRECT(ADDRESS(ROW($F22),MATCH("Adj Close", Price_Header,0)))))</f>
        <v>3.6591541644385668</v>
      </c>
    </row>
    <row r="23" spans="1:19" x14ac:dyDescent="0.35">
      <c r="A23" s="8">
        <v>44077</v>
      </c>
      <c r="B23" s="10">
        <v>87.839995999999999</v>
      </c>
      <c r="C23" s="10">
        <v>88.470000999999996</v>
      </c>
      <c r="D23" s="10">
        <v>81.589995999999999</v>
      </c>
      <c r="E23" s="10">
        <v>82.540001000000004</v>
      </c>
      <c r="F23" s="10">
        <v>82.540001000000004</v>
      </c>
      <c r="G23">
        <v>87462700</v>
      </c>
      <c r="H23" s="10">
        <f>IF(tbl_AMD[[#This Row],[Date]]=$A$5, $F23, EMA_Beta*$H22 + (1-EMA_Beta)*$F23)</f>
        <v>85.080869165144861</v>
      </c>
      <c r="I23" s="46">
        <f ca="1">IF(tbl_AMD[[#This Row],[RS]]= "", "", 100-(100/(1+tbl_AMD[[#This Row],[RS]])))</f>
        <v>52.084732263792226</v>
      </c>
      <c r="J23" s="10">
        <f ca="1">IF(ROW($N23)-4&lt;BB_Periods, "", AVERAGE(INDIRECT(ADDRESS(ROW($F23)-RSI_Periods +1, MATCH("Adj Close", Price_Header,0))): INDIRECT(ADDRESS(ROW($F23),MATCH("Adj Close", Price_Header,0)))))</f>
        <v>85.16499985714286</v>
      </c>
      <c r="K23" s="10">
        <f ca="1">IF(tbl_AMD[[#This Row],[BB_Mean]]="", "", tbl_AMD[[#This Row],[BB_Mean]]+(BB_Width*tbl_AMD[[#This Row],[BB_Stdev]]))</f>
        <v>92.314492923627967</v>
      </c>
      <c r="L23" s="10">
        <f ca="1">IF(tbl_AMD[[#This Row],[BB_Mean]]="", "", tbl_AMD[[#This Row],[BB_Mean]]-(BB_Width*tbl_AMD[[#This Row],[BB_Stdev]]))</f>
        <v>78.015506790657753</v>
      </c>
      <c r="M23" s="46">
        <f>IF(ROW(tbl_AMD[[#This Row],[Adj Close]])=5, 0, $F23-$F22)</f>
        <v>-7.6799999999999926</v>
      </c>
      <c r="N23" s="46">
        <f>MAX(tbl_AMD[[#This Row],[Move]],0)</f>
        <v>0</v>
      </c>
      <c r="O23" s="46">
        <f>MAX(-tbl_AMD[[#This Row],[Move]],0)</f>
        <v>7.6799999999999926</v>
      </c>
      <c r="P23" s="46">
        <f ca="1">IF(ROW($N23)-5&lt;RSI_Periods, "", AVERAGE(INDIRECT(ADDRESS(ROW($N23)-RSI_Periods +1, MATCH("Upmove", Price_Header,0))): INDIRECT(ADDRESS(ROW($N23),MATCH("Upmove", Price_Header,0)))))</f>
        <v>1.1064278571428576</v>
      </c>
      <c r="Q23" s="46">
        <f ca="1">IF(ROW($O23)-5&lt;RSI_Periods, "", AVERAGE(INDIRECT(ADDRESS(ROW($O23)-RSI_Periods +1, MATCH("Downmove", Price_Header,0))): INDIRECT(ADDRESS(ROW($O23),MATCH("Downmove", Price_Header,0)))))</f>
        <v>1.0178565714285719</v>
      </c>
      <c r="R23" s="46">
        <f ca="1">IF(tbl_AMD[[#This Row],[Avg_Upmove]]="", "", tbl_AMD[[#This Row],[Avg_Upmove]]/tbl_AMD[[#This Row],[Avg_Downmove]])</f>
        <v>1.087017452360675</v>
      </c>
      <c r="S23" s="10">
        <f ca="1">IF(ROW($N23)-4&lt;BB_Periods, "", _xlfn.STDEV.S(INDIRECT(ADDRESS(ROW($F23)-RSI_Periods +1, MATCH("Adj Close", Price_Header,0))): INDIRECT(ADDRESS(ROW($F23),MATCH("Adj Close", Price_Header,0)))))</f>
        <v>3.5747465332425552</v>
      </c>
    </row>
    <row r="24" spans="1:19" x14ac:dyDescent="0.35">
      <c r="A24" s="8">
        <v>44078</v>
      </c>
      <c r="B24" s="10">
        <v>81.449996999999996</v>
      </c>
      <c r="C24" s="10">
        <v>84.389999000000003</v>
      </c>
      <c r="D24" s="10">
        <v>76.330001999999993</v>
      </c>
      <c r="E24" s="10">
        <v>82.010002</v>
      </c>
      <c r="F24" s="10">
        <v>82.010002</v>
      </c>
      <c r="G24">
        <v>82267800</v>
      </c>
      <c r="H24" s="10">
        <f>IF(tbl_AMD[[#This Row],[Date]]=$A$5, $F24, EMA_Beta*$H23 + (1-EMA_Beta)*$F24)</f>
        <v>84.773782448630371</v>
      </c>
      <c r="I24" s="46">
        <f ca="1">IF(tbl_AMD[[#This Row],[RS]]= "", "", 100-(100/(1+tbl_AMD[[#This Row],[RS]])))</f>
        <v>49.296747518163457</v>
      </c>
      <c r="J24" s="10">
        <f ca="1">IF(ROW($N24)-4&lt;BB_Periods, "", AVERAGE(INDIRECT(ADDRESS(ROW($F24)-RSI_Periods +1, MATCH("Adj Close", Price_Header,0))): INDIRECT(ADDRESS(ROW($F24),MATCH("Adj Close", Price_Header,0)))))</f>
        <v>85.135714428571433</v>
      </c>
      <c r="K24" s="10">
        <f ca="1">IF(tbl_AMD[[#This Row],[BB_Mean]]="", "", tbl_AMD[[#This Row],[BB_Mean]]+(BB_Width*tbl_AMD[[#This Row],[BB_Stdev]]))</f>
        <v>92.336815529725158</v>
      </c>
      <c r="L24" s="10">
        <f ca="1">IF(tbl_AMD[[#This Row],[BB_Mean]]="", "", tbl_AMD[[#This Row],[BB_Mean]]-(BB_Width*tbl_AMD[[#This Row],[BB_Stdev]]))</f>
        <v>77.934613327417708</v>
      </c>
      <c r="M24" s="46">
        <f>IF(ROW(tbl_AMD[[#This Row],[Adj Close]])=5, 0, $F24-$F23)</f>
        <v>-0.52999900000000366</v>
      </c>
      <c r="N24" s="46">
        <f>MAX(tbl_AMD[[#This Row],[Move]],0)</f>
        <v>0</v>
      </c>
      <c r="O24" s="46">
        <f>MAX(-tbl_AMD[[#This Row],[Move]],0)</f>
        <v>0.52999900000000366</v>
      </c>
      <c r="P24" s="46">
        <f ca="1">IF(ROW($N24)-5&lt;RSI_Periods, "", AVERAGE(INDIRECT(ADDRESS(ROW($N24)-RSI_Periods +1, MATCH("Upmove", Price_Header,0))): INDIRECT(ADDRESS(ROW($N24),MATCH("Upmove", Price_Header,0)))))</f>
        <v>1.0264282142857144</v>
      </c>
      <c r="Q24" s="46">
        <f ca="1">IF(ROW($O24)-5&lt;RSI_Periods, "", AVERAGE(INDIRECT(ADDRESS(ROW($O24)-RSI_Periods +1, MATCH("Downmove", Price_Header,0))): INDIRECT(ADDRESS(ROW($O24),MATCH("Downmove", Price_Header,0)))))</f>
        <v>1.0557136428571436</v>
      </c>
      <c r="R24" s="46">
        <f ca="1">IF(tbl_AMD[[#This Row],[Avg_Upmove]]="", "", tbl_AMD[[#This Row],[Avg_Upmove]]/tbl_AMD[[#This Row],[Avg_Downmove]])</f>
        <v>0.97226006429909129</v>
      </c>
      <c r="S24" s="10">
        <f ca="1">IF(ROW($N24)-4&lt;BB_Periods, "", _xlfn.STDEV.S(INDIRECT(ADDRESS(ROW($F24)-RSI_Periods +1, MATCH("Adj Close", Price_Header,0))): INDIRECT(ADDRESS(ROW($F24),MATCH("Adj Close", Price_Header,0)))))</f>
        <v>3.6005505505768616</v>
      </c>
    </row>
    <row r="25" spans="1:19" x14ac:dyDescent="0.35">
      <c r="A25" s="8">
        <v>44082</v>
      </c>
      <c r="B25" s="10">
        <v>78.050003000000004</v>
      </c>
      <c r="C25" s="10">
        <v>81.879997000000003</v>
      </c>
      <c r="D25" s="10">
        <v>78</v>
      </c>
      <c r="E25" s="10">
        <v>78.690002000000007</v>
      </c>
      <c r="F25" s="10">
        <v>78.690002000000007</v>
      </c>
      <c r="G25">
        <v>54955700</v>
      </c>
      <c r="H25" s="10">
        <f>IF(tbl_AMD[[#This Row],[Date]]=$A$5, $F25, EMA_Beta*$H24 + (1-EMA_Beta)*$F25)</f>
        <v>84.16540440376734</v>
      </c>
      <c r="I25" s="46">
        <f ca="1">IF(tbl_AMD[[#This Row],[RS]]= "", "", 100-(100/(1+tbl_AMD[[#This Row],[RS]])))</f>
        <v>45.316930385854405</v>
      </c>
      <c r="J25" s="10">
        <f ca="1">IF(ROW($N25)-4&lt;BB_Periods, "", AVERAGE(INDIRECT(ADDRESS(ROW($F25)-RSI_Periods +1, MATCH("Adj Close", Price_Header,0))): INDIRECT(ADDRESS(ROW($F25),MATCH("Adj Close", Price_Header,0)))))</f>
        <v>84.923571428571435</v>
      </c>
      <c r="K25" s="10">
        <f ca="1">IF(tbl_AMD[[#This Row],[BB_Mean]]="", "", tbl_AMD[[#This Row],[BB_Mean]]+(BB_Width*tbl_AMD[[#This Row],[BB_Stdev]]))</f>
        <v>92.716430409590188</v>
      </c>
      <c r="L25" s="10">
        <f ca="1">IF(tbl_AMD[[#This Row],[BB_Mean]]="", "", tbl_AMD[[#This Row],[BB_Mean]]-(BB_Width*tbl_AMD[[#This Row],[BB_Stdev]]))</f>
        <v>77.130712447552682</v>
      </c>
      <c r="M25" s="46">
        <f>IF(ROW(tbl_AMD[[#This Row],[Adj Close]])=5, 0, $F25-$F24)</f>
        <v>-3.3199999999999932</v>
      </c>
      <c r="N25" s="46">
        <f>MAX(tbl_AMD[[#This Row],[Move]],0)</f>
        <v>0</v>
      </c>
      <c r="O25" s="46">
        <f>MAX(-tbl_AMD[[#This Row],[Move]],0)</f>
        <v>3.3199999999999932</v>
      </c>
      <c r="P25" s="46">
        <f ca="1">IF(ROW($N25)-5&lt;RSI_Periods, "", AVERAGE(INDIRECT(ADDRESS(ROW($N25)-RSI_Periods +1, MATCH("Upmove", Price_Header,0))): INDIRECT(ADDRESS(ROW($N25),MATCH("Upmove", Price_Header,0)))))</f>
        <v>1.0264282142857144</v>
      </c>
      <c r="Q25" s="46">
        <f ca="1">IF(ROW($O25)-5&lt;RSI_Periods, "", AVERAGE(INDIRECT(ADDRESS(ROW($O25)-RSI_Periods +1, MATCH("Downmove", Price_Header,0))): INDIRECT(ADDRESS(ROW($O25),MATCH("Downmove", Price_Header,0)))))</f>
        <v>1.2385712142857142</v>
      </c>
      <c r="R25" s="46">
        <f ca="1">IF(tbl_AMD[[#This Row],[Avg_Upmove]]="", "", tbl_AMD[[#This Row],[Avg_Upmove]]/tbl_AMD[[#This Row],[Avg_Downmove]])</f>
        <v>0.82871957820984643</v>
      </c>
      <c r="S25" s="10">
        <f ca="1">IF(ROW($N25)-4&lt;BB_Periods, "", _xlfn.STDEV.S(INDIRECT(ADDRESS(ROW($F25)-RSI_Periods +1, MATCH("Adj Close", Price_Header,0))): INDIRECT(ADDRESS(ROW($F25),MATCH("Adj Close", Price_Header,0)))))</f>
        <v>3.8964294905093788</v>
      </c>
    </row>
    <row r="26" spans="1:19" x14ac:dyDescent="0.35">
      <c r="A26" s="8">
        <v>44083</v>
      </c>
      <c r="B26" s="10">
        <v>81.400002000000001</v>
      </c>
      <c r="C26" s="10">
        <v>82.440002000000007</v>
      </c>
      <c r="D26" s="10">
        <v>79.279999000000004</v>
      </c>
      <c r="E26" s="10">
        <v>81.910004000000001</v>
      </c>
      <c r="F26" s="10">
        <v>81.910004000000001</v>
      </c>
      <c r="G26">
        <v>54163900</v>
      </c>
      <c r="H26" s="10">
        <f>IF(tbl_AMD[[#This Row],[Date]]=$A$5, $F26, EMA_Beta*$H25 + (1-EMA_Beta)*$F26)</f>
        <v>83.939864363390598</v>
      </c>
      <c r="I26" s="46">
        <f ca="1">IF(tbl_AMD[[#This Row],[RS]]= "", "", 100-(100/(1+tbl_AMD[[#This Row],[RS]])))</f>
        <v>51.193260090385373</v>
      </c>
      <c r="J26" s="10">
        <f ca="1">IF(ROW($N26)-4&lt;BB_Periods, "", AVERAGE(INDIRECT(ADDRESS(ROW($F26)-RSI_Periods +1, MATCH("Adj Close", Price_Header,0))): INDIRECT(ADDRESS(ROW($F26),MATCH("Adj Close", Price_Header,0)))))</f>
        <v>84.982143428571447</v>
      </c>
      <c r="K26" s="10">
        <f ca="1">IF(tbl_AMD[[#This Row],[BB_Mean]]="", "", tbl_AMD[[#This Row],[BB_Mean]]+(BB_Width*tbl_AMD[[#This Row],[BB_Stdev]]))</f>
        <v>92.662395320275351</v>
      </c>
      <c r="L26" s="10">
        <f ca="1">IF(tbl_AMD[[#This Row],[BB_Mean]]="", "", tbl_AMD[[#This Row],[BB_Mean]]-(BB_Width*tbl_AMD[[#This Row],[BB_Stdev]]))</f>
        <v>77.301891536867544</v>
      </c>
      <c r="M26" s="46">
        <f>IF(ROW(tbl_AMD[[#This Row],[Adj Close]])=5, 0, $F26-$F25)</f>
        <v>3.2200019999999938</v>
      </c>
      <c r="N26" s="46">
        <f>MAX(tbl_AMD[[#This Row],[Move]],0)</f>
        <v>3.2200019999999938</v>
      </c>
      <c r="O26" s="46">
        <f>MAX(-tbl_AMD[[#This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1.2564283571428569</v>
      </c>
      <c r="Q26" s="46">
        <f ca="1">IF(ROW($O26)-5&lt;RSI_Periods, "", AVERAGE(INDIRECT(ADDRESS(ROW($O26)-RSI_Periods +1, MATCH("Downmove", Price_Header,0))): INDIRECT(ADDRESS(ROW($O26),MATCH("Downmove", Price_Header,0)))))</f>
        <v>1.1978563571428569</v>
      </c>
      <c r="R26" s="46">
        <f ca="1">IF(tbl_AMD[[#This Row],[Avg_Upmove]]="", "", tbl_AMD[[#This Row],[Avg_Upmove]]/tbl_AMD[[#This Row],[Avg_Downmove]])</f>
        <v>1.0488973487102466</v>
      </c>
      <c r="S26" s="10">
        <f ca="1">IF(ROW($N26)-4&lt;BB_Periods, "", _xlfn.STDEV.S(INDIRECT(ADDRESS(ROW($F26)-RSI_Periods +1, MATCH("Adj Close", Price_Header,0))): INDIRECT(ADDRESS(ROW($F26),MATCH("Adj Close", Price_Header,0)))))</f>
        <v>3.8401259458519501</v>
      </c>
    </row>
    <row r="27" spans="1:19" x14ac:dyDescent="0.35">
      <c r="A27" s="8">
        <v>44084</v>
      </c>
      <c r="B27" s="10">
        <v>83.07</v>
      </c>
      <c r="C27" s="10">
        <v>83.309997999999993</v>
      </c>
      <c r="D27" s="10">
        <v>78.379997000000003</v>
      </c>
      <c r="E27" s="10">
        <v>78.980002999999996</v>
      </c>
      <c r="F27" s="10">
        <v>78.980002999999996</v>
      </c>
      <c r="G27">
        <v>51499400</v>
      </c>
      <c r="H27" s="10">
        <f>IF(tbl_AMD[[#This Row],[Date]]=$A$5, $F27, EMA_Beta*$H26 + (1-EMA_Beta)*$F27)</f>
        <v>83.443878227051528</v>
      </c>
      <c r="I27" s="46">
        <f ca="1">IF(tbl_AMD[[#This Row],[RS]]= "", "", 100-(100/(1+tbl_AMD[[#This Row],[RS]])))</f>
        <v>44.678467438880752</v>
      </c>
      <c r="J27" s="10">
        <f ca="1">IF(ROW($N27)-4&lt;BB_Periods, "", AVERAGE(INDIRECT(ADDRESS(ROW($F27)-RSI_Periods +1, MATCH("Adj Close", Price_Header,0))): INDIRECT(ADDRESS(ROW($F27),MATCH("Adj Close", Price_Header,0)))))</f>
        <v>84.711429571428567</v>
      </c>
      <c r="K27" s="10">
        <f ca="1">IF(tbl_AMD[[#This Row],[BB_Mean]]="", "", tbl_AMD[[#This Row],[BB_Mean]]+(BB_Width*tbl_AMD[[#This Row],[BB_Stdev]]))</f>
        <v>92.972766186112494</v>
      </c>
      <c r="L27" s="10">
        <f ca="1">IF(tbl_AMD[[#This Row],[BB_Mean]]="", "", tbl_AMD[[#This Row],[BB_Mean]]-(BB_Width*tbl_AMD[[#This Row],[BB_Stdev]]))</f>
        <v>76.450092956744641</v>
      </c>
      <c r="M27" s="46">
        <f>IF(ROW(tbl_AMD[[#This Row],[Adj Close]])=5, 0, $F27-$F26)</f>
        <v>-2.9300010000000043</v>
      </c>
      <c r="N27" s="46">
        <f>MAX(tbl_AMD[[#This Row],[Move]],0)</f>
        <v>0</v>
      </c>
      <c r="O27" s="46">
        <f>MAX(-tbl_AMD[[#This Row],[Move]],0)</f>
        <v>2.9300010000000043</v>
      </c>
      <c r="P27" s="46">
        <f ca="1">IF(ROW($N27)-5&lt;RSI_Periods, "", AVERAGE(INDIRECT(ADDRESS(ROW($N27)-RSI_Periods +1, MATCH("Upmove", Price_Header,0))): INDIRECT(ADDRESS(ROW($N27),MATCH("Upmove", Price_Header,0)))))</f>
        <v>1.1364282857142851</v>
      </c>
      <c r="Q27" s="46">
        <f ca="1">IF(ROW($O27)-5&lt;RSI_Periods, "", AVERAGE(INDIRECT(ADDRESS(ROW($O27)-RSI_Periods +1, MATCH("Downmove", Price_Header,0))): INDIRECT(ADDRESS(ROW($O27),MATCH("Downmove", Price_Header,0)))))</f>
        <v>1.4071421428571429</v>
      </c>
      <c r="R27" s="46">
        <f ca="1">IF(tbl_AMD[[#This Row],[Avg_Upmove]]="", "", tbl_AMD[[#This Row],[Avg_Upmove]]/tbl_AMD[[#This Row],[Avg_Downmove]])</f>
        <v>0.80761442010884221</v>
      </c>
      <c r="S27" s="10">
        <f ca="1">IF(ROW($N27)-4&lt;BB_Periods, "", _xlfn.STDEV.S(INDIRECT(ADDRESS(ROW($F27)-RSI_Periods +1, MATCH("Adj Close", Price_Header,0))): INDIRECT(ADDRESS(ROW($F27),MATCH("Adj Close", Price_Header,0)))))</f>
        <v>4.1306683073419661</v>
      </c>
    </row>
    <row r="28" spans="1:19" x14ac:dyDescent="0.35">
      <c r="A28" s="8">
        <v>44085</v>
      </c>
      <c r="B28" s="10">
        <v>79.819999999999993</v>
      </c>
      <c r="C28" s="10">
        <v>79.989998</v>
      </c>
      <c r="D28" s="10">
        <v>75.040001000000004</v>
      </c>
      <c r="E28" s="10">
        <v>76.339995999999999</v>
      </c>
      <c r="F28" s="10">
        <v>76.339995999999999</v>
      </c>
      <c r="G28">
        <v>54763000</v>
      </c>
      <c r="H28" s="10">
        <f>IF(tbl_AMD[[#This Row],[Date]]=$A$5, $F28, EMA_Beta*$H27 + (1-EMA_Beta)*$F28)</f>
        <v>82.733490004346379</v>
      </c>
      <c r="I28" s="46">
        <f ca="1">IF(tbl_AMD[[#This Row],[RS]]= "", "", 100-(100/(1+tbl_AMD[[#This Row],[RS]])))</f>
        <v>39.962370859956124</v>
      </c>
      <c r="J28" s="10">
        <f ca="1">IF(ROW($N28)-4&lt;BB_Periods, "", AVERAGE(INDIRECT(ADDRESS(ROW($F28)-RSI_Periods +1, MATCH("Adj Close", Price_Header,0))): INDIRECT(ADDRESS(ROW($F28),MATCH("Adj Close", Price_Header,0)))))</f>
        <v>84.177858000000001</v>
      </c>
      <c r="K28" s="10">
        <f ca="1">IF(tbl_AMD[[#This Row],[BB_Mean]]="", "", tbl_AMD[[#This Row],[BB_Mean]]+(BB_Width*tbl_AMD[[#This Row],[BB_Stdev]]))</f>
        <v>93.576614204221755</v>
      </c>
      <c r="L28" s="10">
        <f ca="1">IF(tbl_AMD[[#This Row],[BB_Mean]]="", "", tbl_AMD[[#This Row],[BB_Mean]]-(BB_Width*tbl_AMD[[#This Row],[BB_Stdev]]))</f>
        <v>74.779101795778246</v>
      </c>
      <c r="M28" s="46">
        <f>IF(ROW(tbl_AMD[[#This Row],[Adj Close]])=5, 0, $F28-$F27)</f>
        <v>-2.6400069999999971</v>
      </c>
      <c r="N28" s="46">
        <f>MAX(tbl_AMD[[#This Row],[Move]],0)</f>
        <v>0</v>
      </c>
      <c r="O28" s="46">
        <f>MAX(-tbl_AMD[[#This Row],[Move]],0)</f>
        <v>2.6400069999999971</v>
      </c>
      <c r="P28" s="46">
        <f ca="1">IF(ROW($N28)-5&lt;RSI_Periods, "", AVERAGE(INDIRECT(ADDRESS(ROW($N28)-RSI_Periods +1, MATCH("Upmove", Price_Header,0))): INDIRECT(ADDRESS(ROW($N28),MATCH("Upmove", Price_Header,0)))))</f>
        <v>1.0621425000000002</v>
      </c>
      <c r="Q28" s="46">
        <f ca="1">IF(ROW($O28)-5&lt;RSI_Periods, "", AVERAGE(INDIRECT(ADDRESS(ROW($O28)-RSI_Periods +1, MATCH("Downmove", Price_Header,0))): INDIRECT(ADDRESS(ROW($O28),MATCH("Downmove", Price_Header,0)))))</f>
        <v>1.5957140714285711</v>
      </c>
      <c r="R28" s="46">
        <f ca="1">IF(tbl_AMD[[#This Row],[Avg_Upmove]]="", "", tbl_AMD[[#This Row],[Avg_Upmove]]/tbl_AMD[[#This Row],[Avg_Downmove]])</f>
        <v>0.66562206789911416</v>
      </c>
      <c r="S28" s="10">
        <f ca="1">IF(ROW($N28)-4&lt;BB_Periods, "", _xlfn.STDEV.S(INDIRECT(ADDRESS(ROW($F28)-RSI_Periods +1, MATCH("Adj Close", Price_Header,0))): INDIRECT(ADDRESS(ROW($F28),MATCH("Adj Close", Price_Header,0)))))</f>
        <v>4.6993781021108765</v>
      </c>
    </row>
    <row r="29" spans="1:19" x14ac:dyDescent="0.35">
      <c r="A29" s="8">
        <v>44088</v>
      </c>
      <c r="B29" s="10">
        <v>76.800003000000004</v>
      </c>
      <c r="C29" s="10">
        <v>78.819999999999993</v>
      </c>
      <c r="D29" s="10">
        <v>76.260002</v>
      </c>
      <c r="E29" s="10">
        <v>77.900002000000001</v>
      </c>
      <c r="F29" s="10">
        <v>77.900002000000001</v>
      </c>
      <c r="G29">
        <v>47448700</v>
      </c>
      <c r="H29" s="10">
        <f>IF(tbl_AMD[[#This Row],[Date]]=$A$5, $F29, EMA_Beta*$H28 + (1-EMA_Beta)*$F29)</f>
        <v>82.250141203911738</v>
      </c>
      <c r="I29" s="46">
        <f ca="1">IF(tbl_AMD[[#This Row],[RS]]= "", "", 100-(100/(1+tbl_AMD[[#This Row],[RS]])))</f>
        <v>43.191377855342921</v>
      </c>
      <c r="J29" s="10">
        <f ca="1">IF(ROW($N29)-4&lt;BB_Periods, "", AVERAGE(INDIRECT(ADDRESS(ROW($F29)-RSI_Periods +1, MATCH("Adj Close", Price_Header,0))): INDIRECT(ADDRESS(ROW($F29),MATCH("Adj Close", Price_Header,0)))))</f>
        <v>83.80785800000001</v>
      </c>
      <c r="K29" s="10">
        <f ca="1">IF(tbl_AMD[[#This Row],[BB_Mean]]="", "", tbl_AMD[[#This Row],[BB_Mean]]+(BB_Width*tbl_AMD[[#This Row],[BB_Stdev]]))</f>
        <v>93.782959268285495</v>
      </c>
      <c r="L29" s="10">
        <f ca="1">IF(tbl_AMD[[#This Row],[BB_Mean]]="", "", tbl_AMD[[#This Row],[BB_Mean]]-(BB_Width*tbl_AMD[[#This Row],[BB_Stdev]]))</f>
        <v>73.832756731714525</v>
      </c>
      <c r="M29" s="46">
        <f>IF(ROW(tbl_AMD[[#This Row],[Adj Close]])=5, 0, $F29-$F28)</f>
        <v>1.5600060000000013</v>
      </c>
      <c r="N29" s="46">
        <f>MAX(tbl_AMD[[#This Row],[Move]],0)</f>
        <v>1.5600060000000013</v>
      </c>
      <c r="O29" s="46">
        <f>MAX(-tbl_AMD[[#This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1.1735715000000002</v>
      </c>
      <c r="Q29" s="46">
        <f ca="1">IF(ROW($O29)-5&lt;RSI_Periods, "", AVERAGE(INDIRECT(ADDRESS(ROW($O29)-RSI_Periods +1, MATCH("Downmove", Price_Header,0))): INDIRECT(ADDRESS(ROW($O29),MATCH("Downmove", Price_Header,0)))))</f>
        <v>1.5435714999999999</v>
      </c>
      <c r="R29" s="46">
        <f ca="1">IF(tbl_AMD[[#This Row],[Avg_Upmove]]="", "", tbl_AMD[[#This Row],[Avg_Upmove]]/tbl_AMD[[#This Row],[Avg_Downmove]])</f>
        <v>0.7602961702778267</v>
      </c>
      <c r="S29" s="10">
        <f ca="1">IF(ROW($N29)-4&lt;BB_Periods, "", _xlfn.STDEV.S(INDIRECT(ADDRESS(ROW($F29)-RSI_Periods +1, MATCH("Adj Close", Price_Header,0))): INDIRECT(ADDRESS(ROW($F29),MATCH("Adj Close", Price_Header,0)))))</f>
        <v>4.9875506341427442</v>
      </c>
    </row>
    <row r="30" spans="1:19" x14ac:dyDescent="0.35">
      <c r="A30" s="8">
        <v>44089</v>
      </c>
      <c r="B30" s="10">
        <v>77.660004000000001</v>
      </c>
      <c r="C30" s="10">
        <v>80.330001999999993</v>
      </c>
      <c r="D30" s="10">
        <v>75.970000999999996</v>
      </c>
      <c r="E30" s="10">
        <v>78.930000000000007</v>
      </c>
      <c r="F30" s="10">
        <v>78.930000000000007</v>
      </c>
      <c r="G30">
        <v>57874400</v>
      </c>
      <c r="H30" s="10">
        <f>IF(tbl_AMD[[#This Row],[Date]]=$A$5, $F30, EMA_Beta*$H29 + (1-EMA_Beta)*$F30)</f>
        <v>81.918127083520574</v>
      </c>
      <c r="I30" s="46">
        <f ca="1">IF(tbl_AMD[[#This Row],[RS]]= "", "", 100-(100/(1+tbl_AMD[[#This Row],[RS]])))</f>
        <v>39.636875459566994</v>
      </c>
      <c r="J30" s="10">
        <f ca="1">IF(ROW($N30)-4&lt;BB_Periods, "", AVERAGE(INDIRECT(ADDRESS(ROW($F30)-RSI_Periods +1, MATCH("Adj Close", Price_Header,0))): INDIRECT(ADDRESS(ROW($F30),MATCH("Adj Close", Price_Header,0)))))</f>
        <v>83.277858142857141</v>
      </c>
      <c r="K30" s="10">
        <f ca="1">IF(tbl_AMD[[#This Row],[BB_Mean]]="", "", tbl_AMD[[#This Row],[BB_Mean]]+(BB_Width*tbl_AMD[[#This Row],[BB_Stdev]]))</f>
        <v>93.457506350083065</v>
      </c>
      <c r="L30" s="10">
        <f ca="1">IF(tbl_AMD[[#This Row],[BB_Mean]]="", "", tbl_AMD[[#This Row],[BB_Mean]]-(BB_Width*tbl_AMD[[#This Row],[BB_Stdev]]))</f>
        <v>73.098209935631218</v>
      </c>
      <c r="M30" s="46">
        <f>IF(ROW(tbl_AMD[[#This Row],[Adj Close]])=5, 0, $F30-$F29)</f>
        <v>1.0299980000000062</v>
      </c>
      <c r="N30" s="46">
        <f>MAX(tbl_AMD[[#This Row],[Move]],0)</f>
        <v>1.0299980000000062</v>
      </c>
      <c r="O30" s="46">
        <f>MAX(-tbl_AMD[[#This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1.0135716428571431</v>
      </c>
      <c r="Q30" s="46">
        <f ca="1">IF(ROW($O30)-5&lt;RSI_Periods, "", AVERAGE(INDIRECT(ADDRESS(ROW($O30)-RSI_Periods +1, MATCH("Downmove", Price_Header,0))): INDIRECT(ADDRESS(ROW($O30),MATCH("Downmove", Price_Header,0)))))</f>
        <v>1.5435714999999999</v>
      </c>
      <c r="R30" s="46">
        <f ca="1">IF(tbl_AMD[[#This Row],[Avg_Upmove]]="", "", tbl_AMD[[#This Row],[Avg_Upmove]]/tbl_AMD[[#This Row],[Avg_Downmove]])</f>
        <v>0.6566405526774387</v>
      </c>
      <c r="S30" s="10">
        <f ca="1">IF(ROW($N30)-4&lt;BB_Periods, "", _xlfn.STDEV.S(INDIRECT(ADDRESS(ROW($F30)-RSI_Periods +1, MATCH("Adj Close", Price_Header,0))): INDIRECT(ADDRESS(ROW($F30),MATCH("Adj Close", Price_Header,0)))))</f>
        <v>5.0898241036129637</v>
      </c>
    </row>
    <row r="31" spans="1:19" x14ac:dyDescent="0.35">
      <c r="A31" s="8">
        <v>44090</v>
      </c>
      <c r="B31" s="10">
        <v>79.349997999999999</v>
      </c>
      <c r="C31" s="10">
        <v>79.720000999999996</v>
      </c>
      <c r="D31" s="10">
        <v>76.540001000000004</v>
      </c>
      <c r="E31" s="10">
        <v>76.660004000000001</v>
      </c>
      <c r="F31" s="10">
        <v>76.660004000000001</v>
      </c>
      <c r="G31">
        <v>38393500</v>
      </c>
      <c r="H31" s="10">
        <f>IF(tbl_AMD[[#This Row],[Date]]=$A$5, $F31, EMA_Beta*$H30 + (1-EMA_Beta)*$F31)</f>
        <v>81.392314775168515</v>
      </c>
      <c r="I31" s="46">
        <f ca="1">IF(tbl_AMD[[#This Row],[RS]]= "", "", 100-(100/(1+tbl_AMD[[#This Row],[RS]])))</f>
        <v>37.599373015351702</v>
      </c>
      <c r="J31" s="10">
        <f ca="1">IF(ROW($N31)-4&lt;BB_Periods, "", AVERAGE(INDIRECT(ADDRESS(ROW($F31)-RSI_Periods +1, MATCH("Adj Close", Price_Header,0))): INDIRECT(ADDRESS(ROW($F31),MATCH("Adj Close", Price_Header,0)))))</f>
        <v>82.609287214285715</v>
      </c>
      <c r="K31" s="10">
        <f ca="1">IF(tbl_AMD[[#This Row],[BB_Mean]]="", "", tbl_AMD[[#This Row],[BB_Mean]]+(BB_Width*tbl_AMD[[#This Row],[BB_Stdev]]))</f>
        <v>93.232930961313087</v>
      </c>
      <c r="L31" s="10">
        <f ca="1">IF(tbl_AMD[[#This Row],[BB_Mean]]="", "", tbl_AMD[[#This Row],[BB_Mean]]-(BB_Width*tbl_AMD[[#This Row],[BB_Stdev]]))</f>
        <v>71.985643467258342</v>
      </c>
      <c r="M31" s="46">
        <f>IF(ROW(tbl_AMD[[#This Row],[Adj Close]])=5, 0, $F31-$F30)</f>
        <v>-2.2699960000000061</v>
      </c>
      <c r="N31" s="46">
        <f>MAX(tbl_AMD[[#This Row],[Move]],0)</f>
        <v>0</v>
      </c>
      <c r="O31" s="46">
        <f>MAX(-tbl_AMD[[#This Row],[Move]],0)</f>
        <v>2.2699960000000061</v>
      </c>
      <c r="P31" s="46">
        <f ca="1">IF(ROW($N31)-5&lt;RSI_Periods, "", AVERAGE(INDIRECT(ADDRESS(ROW($N31)-RSI_Periods +1, MATCH("Upmove", Price_Header,0))): INDIRECT(ADDRESS(ROW($N31),MATCH("Upmove", Price_Header,0)))))</f>
        <v>1.0135716428571431</v>
      </c>
      <c r="Q31" s="46">
        <f ca="1">IF(ROW($O31)-5&lt;RSI_Periods, "", AVERAGE(INDIRECT(ADDRESS(ROW($O31)-RSI_Periods +1, MATCH("Downmove", Price_Header,0))): INDIRECT(ADDRESS(ROW($O31),MATCH("Downmove", Price_Header,0)))))</f>
        <v>1.682142571428572</v>
      </c>
      <c r="R31" s="46">
        <f ca="1">IF(tbl_AMD[[#This Row],[Avg_Upmove]]="", "", tbl_AMD[[#This Row],[Avg_Upmove]]/tbl_AMD[[#This Row],[Avg_Downmove]])</f>
        <v>0.60254800043278134</v>
      </c>
      <c r="S31" s="10">
        <f ca="1">IF(ROW($N31)-4&lt;BB_Periods, "", _xlfn.STDEV.S(INDIRECT(ADDRESS(ROW($F31)-RSI_Periods +1, MATCH("Adj Close", Price_Header,0))): INDIRECT(ADDRESS(ROW($F31),MATCH("Adj Close", Price_Header,0)))))</f>
        <v>5.31182187351369</v>
      </c>
    </row>
    <row r="32" spans="1:19" x14ac:dyDescent="0.35">
      <c r="A32" s="8">
        <v>44091</v>
      </c>
      <c r="B32" s="10">
        <v>74.879997000000003</v>
      </c>
      <c r="C32" s="10">
        <v>76.629997000000003</v>
      </c>
      <c r="D32" s="10">
        <v>74.199996999999996</v>
      </c>
      <c r="E32" s="10">
        <v>76.550003000000004</v>
      </c>
      <c r="F32" s="10">
        <v>76.550003000000004</v>
      </c>
      <c r="G32">
        <v>55619100</v>
      </c>
      <c r="H32" s="10">
        <f>IF(tbl_AMD[[#This Row],[Date]]=$A$5, $F32, EMA_Beta*$H31 + (1-EMA_Beta)*$F32)</f>
        <v>80.908083597651668</v>
      </c>
      <c r="I32" s="46">
        <f ca="1">IF(tbl_AMD[[#This Row],[RS]]= "", "", 100-(100/(1+tbl_AMD[[#This Row],[RS]])))</f>
        <v>39.825991048107035</v>
      </c>
      <c r="J32" s="10">
        <f ca="1">IF(ROW($N32)-4&lt;BB_Periods, "", AVERAGE(INDIRECT(ADDRESS(ROW($F32)-RSI_Periods +1, MATCH("Adj Close", Price_Header,0))): INDIRECT(ADDRESS(ROW($F32),MATCH("Adj Close", Price_Header,0)))))</f>
        <v>82.09143007142859</v>
      </c>
      <c r="K32" s="10">
        <f ca="1">IF(tbl_AMD[[#This Row],[BB_Mean]]="", "", tbl_AMD[[#This Row],[BB_Mean]]+(BB_Width*tbl_AMD[[#This Row],[BB_Stdev]]))</f>
        <v>93.162439028695573</v>
      </c>
      <c r="L32" s="10">
        <f ca="1">IF(tbl_AMD[[#This Row],[BB_Mean]]="", "", tbl_AMD[[#This Row],[BB_Mean]]-(BB_Width*tbl_AMD[[#This Row],[BB_Stdev]]))</f>
        <v>71.020421114161607</v>
      </c>
      <c r="M32" s="46">
        <f>IF(ROW(tbl_AMD[[#This Row],[Adj Close]])=5, 0, $F32-$F31)</f>
        <v>-0.11000099999999691</v>
      </c>
      <c r="N32" s="46">
        <f>MAX(tbl_AMD[[#This Row],[Move]],0)</f>
        <v>0</v>
      </c>
      <c r="O32" s="46">
        <f>MAX(-tbl_AMD[[#This Row],[Move]],0)</f>
        <v>0.11000099999999691</v>
      </c>
      <c r="P32" s="46">
        <f ca="1">IF(ROW($N32)-5&lt;RSI_Periods, "", AVERAGE(INDIRECT(ADDRESS(ROW($N32)-RSI_Periods +1, MATCH("Upmove", Price_Header,0))): INDIRECT(ADDRESS(ROW($N32),MATCH("Upmove", Price_Header,0)))))</f>
        <v>1.0135716428571431</v>
      </c>
      <c r="Q32" s="46">
        <f ca="1">IF(ROW($O32)-5&lt;RSI_Periods, "", AVERAGE(INDIRECT(ADDRESS(ROW($O32)-RSI_Periods +1, MATCH("Downmove", Price_Header,0))): INDIRECT(ADDRESS(ROW($O32),MATCH("Downmove", Price_Header,0)))))</f>
        <v>1.5314287857142861</v>
      </c>
      <c r="R32" s="46">
        <f ca="1">IF(tbl_AMD[[#This Row],[Avg_Upmove]]="", "", tbl_AMD[[#This Row],[Avg_Upmove]]/tbl_AMD[[#This Row],[Avg_Downmove]])</f>
        <v>0.6618470622415491</v>
      </c>
      <c r="S32" s="10">
        <f ca="1">IF(ROW($N32)-4&lt;BB_Periods, "", _xlfn.STDEV.S(INDIRECT(ADDRESS(ROW($F32)-RSI_Periods +1, MATCH("Adj Close", Price_Header,0))): INDIRECT(ADDRESS(ROW($F32),MATCH("Adj Close", Price_Header,0)))))</f>
        <v>5.5355044786334915</v>
      </c>
    </row>
    <row r="33" spans="1:19" x14ac:dyDescent="0.35">
      <c r="A33" s="8">
        <v>44092</v>
      </c>
      <c r="B33" s="10">
        <v>77</v>
      </c>
      <c r="C33" s="10">
        <v>77.400002000000001</v>
      </c>
      <c r="D33" s="10">
        <v>73.849997999999999</v>
      </c>
      <c r="E33" s="10">
        <v>74.930000000000007</v>
      </c>
      <c r="F33" s="10">
        <v>74.930000000000007</v>
      </c>
      <c r="G33">
        <v>51082900</v>
      </c>
      <c r="H33" s="10">
        <f>IF(tbl_AMD[[#This Row],[Date]]=$A$5, $F33, EMA_Beta*$H32 + (1-EMA_Beta)*$F33)</f>
        <v>80.310275237886501</v>
      </c>
      <c r="I33" s="46">
        <f ca="1">IF(tbl_AMD[[#This Row],[RS]]= "", "", 100-(100/(1+tbl_AMD[[#This Row],[RS]])))</f>
        <v>35.042253087879502</v>
      </c>
      <c r="J33" s="10">
        <f ca="1">IF(ROW($N33)-4&lt;BB_Periods, "", AVERAGE(INDIRECT(ADDRESS(ROW($F33)-RSI_Periods +1, MATCH("Adj Close", Price_Header,0))): INDIRECT(ADDRESS(ROW($F33),MATCH("Adj Close", Price_Header,0)))))</f>
        <v>81.332858428571427</v>
      </c>
      <c r="K33" s="10">
        <f ca="1">IF(tbl_AMD[[#This Row],[BB_Mean]]="", "", tbl_AMD[[#This Row],[BB_Mean]]+(BB_Width*tbl_AMD[[#This Row],[BB_Stdev]]))</f>
        <v>92.830173816508207</v>
      </c>
      <c r="L33" s="10">
        <f ca="1">IF(tbl_AMD[[#This Row],[BB_Mean]]="", "", tbl_AMD[[#This Row],[BB_Mean]]-(BB_Width*tbl_AMD[[#This Row],[BB_Stdev]]))</f>
        <v>69.835543040634647</v>
      </c>
      <c r="M33" s="46">
        <f>IF(ROW(tbl_AMD[[#This Row],[Adj Close]])=5, 0, $F33-$F32)</f>
        <v>-1.620002999999997</v>
      </c>
      <c r="N33" s="46">
        <f>MAX(tbl_AMD[[#This Row],[Move]],0)</f>
        <v>0</v>
      </c>
      <c r="O33" s="46">
        <f>MAX(-tbl_AMD[[#This Row],[Move]],0)</f>
        <v>1.620002999999997</v>
      </c>
      <c r="P33" s="46">
        <f ca="1">IF(ROW($N33)-5&lt;RSI_Periods, "", AVERAGE(INDIRECT(ADDRESS(ROW($N33)-RSI_Periods +1, MATCH("Upmove", Price_Header,0))): INDIRECT(ADDRESS(ROW($N33),MATCH("Upmove", Price_Header,0)))))</f>
        <v>0.88857164285714318</v>
      </c>
      <c r="Q33" s="46">
        <f ca="1">IF(ROW($O33)-5&lt;RSI_Periods, "", AVERAGE(INDIRECT(ADDRESS(ROW($O33)-RSI_Periods +1, MATCH("Downmove", Price_Header,0))): INDIRECT(ADDRESS(ROW($O33),MATCH("Downmove", Price_Header,0)))))</f>
        <v>1.6471432857142858</v>
      </c>
      <c r="R33" s="46">
        <f ca="1">IF(tbl_AMD[[#This Row],[Avg_Upmove]]="", "", tbl_AMD[[#This Row],[Avg_Upmove]]/tbl_AMD[[#This Row],[Avg_Downmove]])</f>
        <v>0.53946226206532666</v>
      </c>
      <c r="S33" s="10">
        <f ca="1">IF(ROW($N33)-4&lt;BB_Periods, "", _xlfn.STDEV.S(INDIRECT(ADDRESS(ROW($F33)-RSI_Periods +1, MATCH("Adj Close", Price_Header,0))): INDIRECT(ADDRESS(ROW($F33),MATCH("Adj Close", Price_Header,0)))))</f>
        <v>5.7486576939683873</v>
      </c>
    </row>
    <row r="34" spans="1:19" x14ac:dyDescent="0.35">
      <c r="A34" s="8">
        <v>44095</v>
      </c>
      <c r="B34" s="10">
        <v>74.230002999999996</v>
      </c>
      <c r="C34" s="10">
        <v>77.980002999999996</v>
      </c>
      <c r="D34" s="10">
        <v>73.879997000000003</v>
      </c>
      <c r="E34" s="10">
        <v>77.940002000000007</v>
      </c>
      <c r="F34" s="10">
        <v>77.940002000000007</v>
      </c>
      <c r="G34">
        <v>61312000</v>
      </c>
      <c r="H34" s="10">
        <f>IF(tbl_AMD[[#This Row],[Date]]=$A$5, $F34, EMA_Beta*$H33 + (1-EMA_Beta)*$F34)</f>
        <v>80.073247914097848</v>
      </c>
      <c r="I34" s="46">
        <f ca="1">IF(tbl_AMD[[#This Row],[RS]]= "", "", 100-(100/(1+tbl_AMD[[#This Row],[RS]])))</f>
        <v>30.625763274347634</v>
      </c>
      <c r="J34" s="10">
        <f ca="1">IF(ROW($N34)-4&lt;BB_Periods, "", AVERAGE(INDIRECT(ADDRESS(ROW($F34)-RSI_Periods +1, MATCH("Adj Close", Price_Header,0))): INDIRECT(ADDRESS(ROW($F34),MATCH("Adj Close", Price_Header,0)))))</f>
        <v>80.412858571428572</v>
      </c>
      <c r="K34" s="10">
        <f ca="1">IF(tbl_AMD[[#This Row],[BB_Mean]]="", "", tbl_AMD[[#This Row],[BB_Mean]]+(BB_Width*tbl_AMD[[#This Row],[BB_Stdev]]))</f>
        <v>90.630006629022049</v>
      </c>
      <c r="L34" s="10">
        <f ca="1">IF(tbl_AMD[[#This Row],[BB_Mean]]="", "", tbl_AMD[[#This Row],[BB_Mean]]-(BB_Width*tbl_AMD[[#This Row],[BB_Stdev]]))</f>
        <v>70.195710513835095</v>
      </c>
      <c r="M34" s="46">
        <f>IF(ROW(tbl_AMD[[#This Row],[Adj Close]])=5, 0, $F34-$F33)</f>
        <v>3.0100020000000001</v>
      </c>
      <c r="N34" s="46">
        <f>MAX(tbl_AMD[[#This Row],[Move]],0)</f>
        <v>3.0100020000000001</v>
      </c>
      <c r="O34" s="46">
        <f>MAX(-tbl_AMD[[#This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0.72714342857142966</v>
      </c>
      <c r="Q34" s="46">
        <f ca="1">IF(ROW($O34)-5&lt;RSI_Periods, "", AVERAGE(INDIRECT(ADDRESS(ROW($O34)-RSI_Periods +1, MATCH("Downmove", Price_Header,0))): INDIRECT(ADDRESS(ROW($O34),MATCH("Downmove", Price_Header,0)))))</f>
        <v>1.6471432857142858</v>
      </c>
      <c r="R34" s="46">
        <f ca="1">IF(tbl_AMD[[#This Row],[Avg_Upmove]]="", "", tbl_AMD[[#This Row],[Avg_Upmove]]/tbl_AMD[[#This Row],[Avg_Downmove]])</f>
        <v>0.44145730057485738</v>
      </c>
      <c r="S34" s="10">
        <f ca="1">IF(ROW($N34)-4&lt;BB_Periods, "", _xlfn.STDEV.S(INDIRECT(ADDRESS(ROW($F34)-RSI_Periods +1, MATCH("Adj Close", Price_Header,0))): INDIRECT(ADDRESS(ROW($F34),MATCH("Adj Close", Price_Header,0)))))</f>
        <v>5.1085740287967409</v>
      </c>
    </row>
    <row r="35" spans="1:19" x14ac:dyDescent="0.35">
      <c r="A35" s="8">
        <v>44096</v>
      </c>
      <c r="B35" s="10">
        <v>78.360000999999997</v>
      </c>
      <c r="C35" s="10">
        <v>78.790001000000004</v>
      </c>
      <c r="D35" s="10">
        <v>75.269997000000004</v>
      </c>
      <c r="E35" s="10">
        <v>77.699996999999996</v>
      </c>
      <c r="F35" s="10">
        <v>77.699996999999996</v>
      </c>
      <c r="G35">
        <v>56044700</v>
      </c>
      <c r="H35" s="10">
        <f>IF(tbl_AMD[[#This Row],[Date]]=$A$5, $F35, EMA_Beta*$H34 + (1-EMA_Beta)*$F35)</f>
        <v>79.835922822688062</v>
      </c>
      <c r="I35" s="46">
        <f ca="1">IF(tbl_AMD[[#This Row],[RS]]= "", "", 100-(100/(1+tbl_AMD[[#This Row],[RS]])))</f>
        <v>27.459535438008302</v>
      </c>
      <c r="J35" s="10">
        <f ca="1">IF(ROW($N35)-4&lt;BB_Periods, "", AVERAGE(INDIRECT(ADDRESS(ROW($F35)-RSI_Periods +1, MATCH("Adj Close", Price_Header,0))): INDIRECT(ADDRESS(ROW($F35),MATCH("Adj Close", Price_Header,0)))))</f>
        <v>79.378572642857151</v>
      </c>
      <c r="K35" s="10">
        <f ca="1">IF(tbl_AMD[[#This Row],[BB_Mean]]="", "", tbl_AMD[[#This Row],[BB_Mean]]+(BB_Width*tbl_AMD[[#This Row],[BB_Stdev]]))</f>
        <v>87.088414685681173</v>
      </c>
      <c r="L35" s="10">
        <f ca="1">IF(tbl_AMD[[#This Row],[BB_Mean]]="", "", tbl_AMD[[#This Row],[BB_Mean]]-(BB_Width*tbl_AMD[[#This Row],[BB_Stdev]]))</f>
        <v>71.668730600033129</v>
      </c>
      <c r="M35" s="46">
        <f>IF(ROW(tbl_AMD[[#This Row],[Adj Close]])=5, 0, $F35-$F34)</f>
        <v>-0.24000500000001068</v>
      </c>
      <c r="N35" s="46">
        <f>MAX(tbl_AMD[[#This Row],[Move]],0)</f>
        <v>0</v>
      </c>
      <c r="O35" s="46">
        <f>MAX(-tbl_AMD[[#This Row],[Move]],0)</f>
        <v>0.24000500000001068</v>
      </c>
      <c r="P35" s="46">
        <f ca="1">IF(ROW($N35)-5&lt;RSI_Periods, "", AVERAGE(INDIRECT(ADDRESS(ROW($N35)-RSI_Periods +1, MATCH("Upmove", Price_Header,0))): INDIRECT(ADDRESS(ROW($N35),MATCH("Upmove", Price_Header,0)))))</f>
        <v>0.63000057142857158</v>
      </c>
      <c r="Q35" s="46">
        <f ca="1">IF(ROW($O35)-5&lt;RSI_Periods, "", AVERAGE(INDIRECT(ADDRESS(ROW($O35)-RSI_Periods +1, MATCH("Downmove", Price_Header,0))): INDIRECT(ADDRESS(ROW($O35),MATCH("Downmove", Price_Header,0)))))</f>
        <v>1.6642865000000009</v>
      </c>
      <c r="R35" s="46">
        <f ca="1">IF(tbl_AMD[[#This Row],[Avg_Upmove]]="", "", tbl_AMD[[#This Row],[Avg_Upmove]]/tbl_AMD[[#This Row],[Avg_Downmove]])</f>
        <v>0.37854093716951454</v>
      </c>
      <c r="S35" s="10">
        <f ca="1">IF(ROW($N35)-4&lt;BB_Periods, "", _xlfn.STDEV.S(INDIRECT(ADDRESS(ROW($F35)-RSI_Periods +1, MATCH("Adj Close", Price_Header,0))): INDIRECT(ADDRESS(ROW($F35),MATCH("Adj Close", Price_Header,0)))))</f>
        <v>3.8549210214120126</v>
      </c>
    </row>
    <row r="36" spans="1:19" x14ac:dyDescent="0.35">
      <c r="A36" s="8">
        <v>44097</v>
      </c>
      <c r="B36" s="10">
        <v>77.389999000000003</v>
      </c>
      <c r="C36" s="10">
        <v>77.910004000000001</v>
      </c>
      <c r="D36" s="10">
        <v>74.339995999999999</v>
      </c>
      <c r="E36" s="10">
        <v>74.730002999999996</v>
      </c>
      <c r="F36" s="10">
        <v>74.730002999999996</v>
      </c>
      <c r="G36">
        <v>42327500</v>
      </c>
      <c r="H36" s="10">
        <f>IF(tbl_AMD[[#This Row],[Date]]=$A$5, $F36, EMA_Beta*$H35 + (1-EMA_Beta)*$F36)</f>
        <v>79.325330840419255</v>
      </c>
      <c r="I36" s="46">
        <f ca="1">IF(tbl_AMD[[#This Row],[RS]]= "", "", 100-(100/(1+tbl_AMD[[#This Row],[RS]])))</f>
        <v>26.622409516639507</v>
      </c>
      <c r="J36" s="10">
        <f ca="1">IF(ROW($N36)-4&lt;BB_Periods, "", AVERAGE(INDIRECT(ADDRESS(ROW($F36)-RSI_Periods +1, MATCH("Adj Close", Price_Header,0))): INDIRECT(ADDRESS(ROW($F36),MATCH("Adj Close", Price_Header,0)))))</f>
        <v>78.272144214285703</v>
      </c>
      <c r="K36" s="10">
        <f ca="1">IF(tbl_AMD[[#This Row],[BB_Mean]]="", "", tbl_AMD[[#This Row],[BB_Mean]]+(BB_Width*tbl_AMD[[#This Row],[BB_Stdev]]))</f>
        <v>83.237236693490502</v>
      </c>
      <c r="L36" s="10">
        <f ca="1">IF(tbl_AMD[[#This Row],[BB_Mean]]="", "", tbl_AMD[[#This Row],[BB_Mean]]-(BB_Width*tbl_AMD[[#This Row],[BB_Stdev]]))</f>
        <v>73.307051735080904</v>
      </c>
      <c r="M36" s="46">
        <f>IF(ROW(tbl_AMD[[#This Row],[Adj Close]])=5, 0, $F36-$F35)</f>
        <v>-2.9699939999999998</v>
      </c>
      <c r="N36" s="46">
        <f>MAX(tbl_AMD[[#This Row],[Move]],0)</f>
        <v>0</v>
      </c>
      <c r="O36" s="46">
        <f>MAX(-tbl_AMD[[#This Row],[Move]],0)</f>
        <v>2.9699939999999998</v>
      </c>
      <c r="P36" s="46">
        <f ca="1">IF(ROW($N36)-5&lt;RSI_Periods, "", AVERAGE(INDIRECT(ADDRESS(ROW($N36)-RSI_Periods +1, MATCH("Upmove", Price_Header,0))): INDIRECT(ADDRESS(ROW($N36),MATCH("Upmove", Price_Header,0)))))</f>
        <v>0.63000057142857158</v>
      </c>
      <c r="Q36" s="46">
        <f ca="1">IF(ROW($O36)-5&lt;RSI_Periods, "", AVERAGE(INDIRECT(ADDRESS(ROW($O36)-RSI_Periods +1, MATCH("Downmove", Price_Header,0))): INDIRECT(ADDRESS(ROW($O36),MATCH("Downmove", Price_Header,0)))))</f>
        <v>1.736429</v>
      </c>
      <c r="R36" s="46">
        <f ca="1">IF(tbl_AMD[[#This Row],[Avg_Upmove]]="", "", tbl_AMD[[#This Row],[Avg_Upmove]]/tbl_AMD[[#This Row],[Avg_Downmove]])</f>
        <v>0.3628138964671585</v>
      </c>
      <c r="S36" s="10">
        <f ca="1">IF(ROW($N36)-4&lt;BB_Periods, "", _xlfn.STDEV.S(INDIRECT(ADDRESS(ROW($F36)-RSI_Periods +1, MATCH("Adj Close", Price_Header,0))): INDIRECT(ADDRESS(ROW($F36),MATCH("Adj Close", Price_Header,0)))))</f>
        <v>2.4825462396024025</v>
      </c>
    </row>
    <row r="37" spans="1:19" x14ac:dyDescent="0.35">
      <c r="A37" s="8">
        <v>44098</v>
      </c>
      <c r="B37" s="10">
        <v>74.540001000000004</v>
      </c>
      <c r="C37" s="10">
        <v>77.25</v>
      </c>
      <c r="D37" s="10">
        <v>73.900002000000001</v>
      </c>
      <c r="E37" s="10">
        <v>75.819999999999993</v>
      </c>
      <c r="F37" s="10">
        <v>75.819999999999993</v>
      </c>
      <c r="G37">
        <v>57540900</v>
      </c>
      <c r="H37" s="10">
        <f>IF(tbl_AMD[[#This Row],[Date]]=$A$5, $F37, EMA_Beta*$H36 + (1-EMA_Beta)*$F37)</f>
        <v>78.974797756377328</v>
      </c>
      <c r="I37" s="46">
        <f ca="1">IF(tbl_AMD[[#This Row],[RS]]= "", "", 100-(100/(1+tbl_AMD[[#This Row],[RS]])))</f>
        <v>37.339867718969657</v>
      </c>
      <c r="J37" s="10">
        <f ca="1">IF(ROW($N37)-4&lt;BB_Periods, "", AVERAGE(INDIRECT(ADDRESS(ROW($F37)-RSI_Periods +1, MATCH("Adj Close", Price_Header,0))): INDIRECT(ADDRESS(ROW($F37),MATCH("Adj Close", Price_Header,0)))))</f>
        <v>77.792144142857154</v>
      </c>
      <c r="K37" s="10">
        <f ca="1">IF(tbl_AMD[[#This Row],[BB_Mean]]="", "", tbl_AMD[[#This Row],[BB_Mean]]+(BB_Width*tbl_AMD[[#This Row],[BB_Stdev]]))</f>
        <v>82.253681461806224</v>
      </c>
      <c r="L37" s="10">
        <f ca="1">IF(tbl_AMD[[#This Row],[BB_Mean]]="", "", tbl_AMD[[#This Row],[BB_Mean]]-(BB_Width*tbl_AMD[[#This Row],[BB_Stdev]]))</f>
        <v>73.330606823908084</v>
      </c>
      <c r="M37" s="46">
        <f>IF(ROW(tbl_AMD[[#This Row],[Adj Close]])=5, 0, $F37-$F36)</f>
        <v>1.0899969999999968</v>
      </c>
      <c r="N37" s="46">
        <f>MAX(tbl_AMD[[#This Row],[Move]],0)</f>
        <v>1.0899969999999968</v>
      </c>
      <c r="O37" s="46">
        <f>MAX(-tbl_AMD[[#This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0.70785749999999992</v>
      </c>
      <c r="Q37" s="46">
        <f ca="1">IF(ROW($O37)-5&lt;RSI_Periods, "", AVERAGE(INDIRECT(ADDRESS(ROW($O37)-RSI_Periods +1, MATCH("Downmove", Price_Header,0))): INDIRECT(ADDRESS(ROW($O37),MATCH("Downmove", Price_Header,0)))))</f>
        <v>1.187857571428572</v>
      </c>
      <c r="R37" s="46">
        <f ca="1">IF(tbl_AMD[[#This Row],[Avg_Upmove]]="", "", tbl_AMD[[#This Row],[Avg_Upmove]]/tbl_AMD[[#This Row],[Avg_Downmove]])</f>
        <v>0.59591108986972074</v>
      </c>
      <c r="S37" s="10">
        <f ca="1">IF(ROW($N37)-4&lt;BB_Periods, "", _xlfn.STDEV.S(INDIRECT(ADDRESS(ROW($F37)-RSI_Periods +1, MATCH("Adj Close", Price_Header,0))): INDIRECT(ADDRESS(ROW($F37),MATCH("Adj Close", Price_Header,0)))))</f>
        <v>2.230768659474538</v>
      </c>
    </row>
    <row r="38" spans="1:19" x14ac:dyDescent="0.35">
      <c r="A38" s="8">
        <v>44099</v>
      </c>
      <c r="B38" s="10">
        <v>76.349997999999999</v>
      </c>
      <c r="C38" s="10">
        <v>78.199996999999996</v>
      </c>
      <c r="D38" s="10">
        <v>74.669998000000007</v>
      </c>
      <c r="E38" s="10">
        <v>78.059997999999993</v>
      </c>
      <c r="F38" s="10">
        <v>78.059997999999993</v>
      </c>
      <c r="G38">
        <v>48206200</v>
      </c>
      <c r="H38" s="10">
        <f>IF(tbl_AMD[[#This Row],[Date]]=$A$5, $F38, EMA_Beta*$H37 + (1-EMA_Beta)*$F38)</f>
        <v>78.883317780739588</v>
      </c>
      <c r="I38" s="46">
        <f ca="1">IF(tbl_AMD[[#This Row],[RS]]= "", "", 100-(100/(1+tbl_AMD[[#This Row],[RS]])))</f>
        <v>43.008844952621246</v>
      </c>
      <c r="J38" s="10">
        <f ca="1">IF(ROW($N38)-4&lt;BB_Periods, "", AVERAGE(INDIRECT(ADDRESS(ROW($F38)-RSI_Periods +1, MATCH("Adj Close", Price_Header,0))): INDIRECT(ADDRESS(ROW($F38),MATCH("Adj Close", Price_Header,0)))))</f>
        <v>77.510001000000003</v>
      </c>
      <c r="K38" s="10">
        <f ca="1">IF(tbl_AMD[[#This Row],[BB_Mean]]="", "", tbl_AMD[[#This Row],[BB_Mean]]+(BB_Width*tbl_AMD[[#This Row],[BB_Stdev]]))</f>
        <v>81.266399799180945</v>
      </c>
      <c r="L38" s="10">
        <f ca="1">IF(tbl_AMD[[#This Row],[BB_Mean]]="", "", tbl_AMD[[#This Row],[BB_Mean]]-(BB_Width*tbl_AMD[[#This Row],[BB_Stdev]]))</f>
        <v>73.75360220081906</v>
      </c>
      <c r="M38" s="46">
        <f>IF(ROW(tbl_AMD[[#This Row],[Adj Close]])=5, 0, $F38-$F37)</f>
        <v>2.2399979999999999</v>
      </c>
      <c r="N38" s="46">
        <f>MAX(tbl_AMD[[#This Row],[Move]],0)</f>
        <v>2.2399979999999999</v>
      </c>
      <c r="O38" s="46">
        <f>MAX(-tbl_AMD[[#This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0.86785735714285706</v>
      </c>
      <c r="Q38" s="46">
        <f ca="1">IF(ROW($O38)-5&lt;RSI_Periods, "", AVERAGE(INDIRECT(ADDRESS(ROW($O38)-RSI_Periods +1, MATCH("Downmove", Price_Header,0))): INDIRECT(ADDRESS(ROW($O38),MATCH("Downmove", Price_Header,0)))))</f>
        <v>1.1500005000000004</v>
      </c>
      <c r="R38" s="46">
        <f ca="1">IF(tbl_AMD[[#This Row],[Avg_Upmove]]="", "", tbl_AMD[[#This Row],[Avg_Upmove]]/tbl_AMD[[#This Row],[Avg_Downmove]])</f>
        <v>0.75465824331629139</v>
      </c>
      <c r="S38" s="10">
        <f ca="1">IF(ROW($N38)-4&lt;BB_Periods, "", _xlfn.STDEV.S(INDIRECT(ADDRESS(ROW($F38)-RSI_Periods +1, MATCH("Adj Close", Price_Header,0))): INDIRECT(ADDRESS(ROW($F38),MATCH("Adj Close", Price_Header,0)))))</f>
        <v>1.87819939959047</v>
      </c>
    </row>
    <row r="39" spans="1:19" x14ac:dyDescent="0.35">
      <c r="A39" s="8">
        <v>44102</v>
      </c>
      <c r="B39" s="10">
        <v>79.120002999999997</v>
      </c>
      <c r="C39" s="10">
        <v>79.569999999999993</v>
      </c>
      <c r="D39" s="10">
        <v>77.519997000000004</v>
      </c>
      <c r="E39" s="10">
        <v>79.480002999999996</v>
      </c>
      <c r="F39" s="10">
        <v>79.480002999999996</v>
      </c>
      <c r="G39">
        <v>48005500</v>
      </c>
      <c r="H39" s="10">
        <f>IF(tbl_AMD[[#This Row],[Date]]=$A$5, $F39, EMA_Beta*$H38 + (1-EMA_Beta)*$F39)</f>
        <v>78.942986302665631</v>
      </c>
      <c r="I39" s="46">
        <f ca="1">IF(tbl_AMD[[#This Row],[RS]]= "", "", 100-(100/(1+tbl_AMD[[#This Row],[RS]])))</f>
        <v>51.499052277579338</v>
      </c>
      <c r="J39" s="10">
        <f ca="1">IF(ROW($N39)-4&lt;BB_Periods, "", AVERAGE(INDIRECT(ADDRESS(ROW($F39)-RSI_Periods +1, MATCH("Adj Close", Price_Header,0))): INDIRECT(ADDRESS(ROW($F39),MATCH("Adj Close", Price_Header,0)))))</f>
        <v>77.56642964285713</v>
      </c>
      <c r="K39" s="10">
        <f ca="1">IF(tbl_AMD[[#This Row],[BB_Mean]]="", "", tbl_AMD[[#This Row],[BB_Mean]]+(BB_Width*tbl_AMD[[#This Row],[BB_Stdev]]))</f>
        <v>81.421622170656619</v>
      </c>
      <c r="L39" s="10">
        <f ca="1">IF(tbl_AMD[[#This Row],[BB_Mean]]="", "", tbl_AMD[[#This Row],[BB_Mean]]-(BB_Width*tbl_AMD[[#This Row],[BB_Stdev]]))</f>
        <v>73.711237115057642</v>
      </c>
      <c r="M39" s="46">
        <f>IF(ROW(tbl_AMD[[#This Row],[Adj Close]])=5, 0, $F39-$F38)</f>
        <v>1.4200050000000033</v>
      </c>
      <c r="N39" s="46">
        <f>MAX(tbl_AMD[[#This Row],[Move]],0)</f>
        <v>1.4200050000000033</v>
      </c>
      <c r="O39" s="46">
        <f>MAX(-tbl_AMD[[#This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0.96928628571428577</v>
      </c>
      <c r="Q39" s="46">
        <f ca="1">IF(ROW($O39)-5&lt;RSI_Periods, "", AVERAGE(INDIRECT(ADDRESS(ROW($O39)-RSI_Periods +1, MATCH("Downmove", Price_Header,0))): INDIRECT(ADDRESS(ROW($O39),MATCH("Downmove", Price_Header,0)))))</f>
        <v>0.91285764285714366</v>
      </c>
      <c r="R39" s="46">
        <f ca="1">IF(tbl_AMD[[#This Row],[Avg_Upmove]]="", "", tbl_AMD[[#This Row],[Avg_Upmove]]/tbl_AMD[[#This Row],[Avg_Downmove]])</f>
        <v>1.0618153808522945</v>
      </c>
      <c r="S39" s="10">
        <f ca="1">IF(ROW($N39)-4&lt;BB_Periods, "", _xlfn.STDEV.S(INDIRECT(ADDRESS(ROW($F39)-RSI_Periods +1, MATCH("Adj Close", Price_Header,0))): INDIRECT(ADDRESS(ROW($F39),MATCH("Adj Close", Price_Header,0)))))</f>
        <v>1.9275962638997428</v>
      </c>
    </row>
    <row r="40" spans="1:19" x14ac:dyDescent="0.35">
      <c r="A40" s="8">
        <v>44103</v>
      </c>
      <c r="B40" s="10">
        <v>79.300003000000004</v>
      </c>
      <c r="C40" s="10">
        <v>82.550003000000004</v>
      </c>
      <c r="D40" s="10">
        <v>79.300003000000004</v>
      </c>
      <c r="E40" s="10">
        <v>81.769997000000004</v>
      </c>
      <c r="F40" s="10">
        <v>81.769997000000004</v>
      </c>
      <c r="G40">
        <v>61568900</v>
      </c>
      <c r="H40" s="10">
        <f>IF(tbl_AMD[[#This Row],[Date]]=$A$5, $F40, EMA_Beta*$H39 + (1-EMA_Beta)*$F40)</f>
        <v>79.225687372399065</v>
      </c>
      <c r="I40" s="46">
        <f ca="1">IF(tbl_AMD[[#This Row],[RS]]= "", "", 100-(100/(1+tbl_AMD[[#This Row],[RS]])))</f>
        <v>49.724612585669242</v>
      </c>
      <c r="J40" s="10">
        <f ca="1">IF(ROW($N40)-4&lt;BB_Periods, "", AVERAGE(INDIRECT(ADDRESS(ROW($F40)-RSI_Periods +1, MATCH("Adj Close", Price_Header,0))): INDIRECT(ADDRESS(ROW($F40),MATCH("Adj Close", Price_Header,0)))))</f>
        <v>77.556429142857141</v>
      </c>
      <c r="K40" s="10">
        <f ca="1">IF(tbl_AMD[[#This Row],[BB_Mean]]="", "", tbl_AMD[[#This Row],[BB_Mean]]+(BB_Width*tbl_AMD[[#This Row],[BB_Stdev]]))</f>
        <v>81.363511442822571</v>
      </c>
      <c r="L40" s="10">
        <f ca="1">IF(tbl_AMD[[#This Row],[BB_Mean]]="", "", tbl_AMD[[#This Row],[BB_Mean]]-(BB_Width*tbl_AMD[[#This Row],[BB_Stdev]]))</f>
        <v>73.749346842891711</v>
      </c>
      <c r="M40" s="46">
        <f>IF(ROW(tbl_AMD[[#This Row],[Adj Close]])=5, 0, $F40-$F39)</f>
        <v>2.2899940000000072</v>
      </c>
      <c r="N40" s="46">
        <f>MAX(tbl_AMD[[#This Row],[Move]],0)</f>
        <v>2.2899940000000072</v>
      </c>
      <c r="O40" s="46">
        <f>MAX(-tbl_AMD[[#This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0.90285714285714391</v>
      </c>
      <c r="Q40" s="46">
        <f ca="1">IF(ROW($O40)-5&lt;RSI_Periods, "", AVERAGE(INDIRECT(ADDRESS(ROW($O40)-RSI_Periods +1, MATCH("Downmove", Price_Header,0))): INDIRECT(ADDRESS(ROW($O40),MATCH("Downmove", Price_Header,0)))))</f>
        <v>0.91285764285714366</v>
      </c>
      <c r="R40" s="46">
        <f ca="1">IF(tbl_AMD[[#This Row],[Avg_Upmove]]="", "", tbl_AMD[[#This Row],[Avg_Upmove]]/tbl_AMD[[#This Row],[Avg_Downmove]])</f>
        <v>0.98904484168122941</v>
      </c>
      <c r="S40" s="10">
        <f ca="1">IF(ROW($N40)-4&lt;BB_Periods, "", _xlfn.STDEV.S(INDIRECT(ADDRESS(ROW($F40)-RSI_Periods +1, MATCH("Adj Close", Price_Header,0))): INDIRECT(ADDRESS(ROW($F40),MATCH("Adj Close", Price_Header,0)))))</f>
        <v>1.9035411499827153</v>
      </c>
    </row>
    <row r="41" spans="1:19" x14ac:dyDescent="0.35">
      <c r="A41" s="8">
        <v>44104</v>
      </c>
      <c r="B41" s="10">
        <v>81.75</v>
      </c>
      <c r="C41" s="10">
        <v>82.940002000000007</v>
      </c>
      <c r="D41" s="10">
        <v>80.660004000000001</v>
      </c>
      <c r="E41" s="10">
        <v>81.989998</v>
      </c>
      <c r="F41" s="10">
        <v>81.989998</v>
      </c>
      <c r="G41">
        <v>51479700</v>
      </c>
      <c r="H41" s="10">
        <f>IF(tbl_AMD[[#This Row],[Date]]=$A$5, $F41, EMA_Beta*$H40 + (1-EMA_Beta)*$F41)</f>
        <v>79.502118435159161</v>
      </c>
      <c r="I41" s="46">
        <f ca="1">IF(tbl_AMD[[#This Row],[RS]]= "", "", 100-(100/(1+tbl_AMD[[#This Row],[RS]])))</f>
        <v>56.627023496734282</v>
      </c>
      <c r="J41" s="10">
        <f ca="1">IF(ROW($N41)-4&lt;BB_Periods, "", AVERAGE(INDIRECT(ADDRESS(ROW($F41)-RSI_Periods +1, MATCH("Adj Close", Price_Header,0))): INDIRECT(ADDRESS(ROW($F41),MATCH("Adj Close", Price_Header,0)))))</f>
        <v>77.771428785714292</v>
      </c>
      <c r="K41" s="10">
        <f ca="1">IF(tbl_AMD[[#This Row],[BB_Mean]]="", "", tbl_AMD[[#This Row],[BB_Mean]]+(BB_Width*tbl_AMD[[#This Row],[BB_Stdev]]))</f>
        <v>82.212077326709604</v>
      </c>
      <c r="L41" s="10">
        <f ca="1">IF(tbl_AMD[[#This Row],[BB_Mean]]="", "", tbl_AMD[[#This Row],[BB_Mean]]-(BB_Width*tbl_AMD[[#This Row],[BB_Stdev]]))</f>
        <v>73.33078024471898</v>
      </c>
      <c r="M41" s="46">
        <f>IF(ROW(tbl_AMD[[#This Row],[Adj Close]])=5, 0, $F41-$F40)</f>
        <v>0.22000099999999634</v>
      </c>
      <c r="N41" s="46">
        <f>MAX(tbl_AMD[[#This Row],[Move]],0)</f>
        <v>0.22000099999999634</v>
      </c>
      <c r="O41" s="46">
        <f>MAX(-tbl_AMD[[#This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0.91857150000000076</v>
      </c>
      <c r="Q41" s="46">
        <f ca="1">IF(ROW($O41)-5&lt;RSI_Periods, "", AVERAGE(INDIRECT(ADDRESS(ROW($O41)-RSI_Periods +1, MATCH("Downmove", Price_Header,0))): INDIRECT(ADDRESS(ROW($O41),MATCH("Downmove", Price_Header,0)))))</f>
        <v>0.70357185714285764</v>
      </c>
      <c r="R41" s="46">
        <f ca="1">IF(tbl_AMD[[#This Row],[Avg_Upmove]]="", "", tbl_AMD[[#This Row],[Avg_Upmove]]/tbl_AMD[[#This Row],[Avg_Downmove]])</f>
        <v>1.3055830625889975</v>
      </c>
      <c r="S41" s="10">
        <f ca="1">IF(ROW($N41)-4&lt;BB_Periods, "", _xlfn.STDEV.S(INDIRECT(ADDRESS(ROW($F41)-RSI_Periods +1, MATCH("Adj Close", Price_Header,0))): INDIRECT(ADDRESS(ROW($F41),MATCH("Adj Close", Price_Header,0)))))</f>
        <v>2.2203242704976569</v>
      </c>
    </row>
    <row r="42" spans="1:19" x14ac:dyDescent="0.35">
      <c r="A42" s="8">
        <v>44105</v>
      </c>
      <c r="B42" s="10">
        <v>83.059997999999993</v>
      </c>
      <c r="C42" s="10">
        <v>85.25</v>
      </c>
      <c r="D42" s="10">
        <v>82.860000999999997</v>
      </c>
      <c r="E42" s="10">
        <v>84.860000999999997</v>
      </c>
      <c r="F42" s="10">
        <v>84.860000999999997</v>
      </c>
      <c r="G42">
        <v>52177100</v>
      </c>
      <c r="H42" s="10">
        <f>IF(tbl_AMD[[#This Row],[Date]]=$A$5, $F42, EMA_Beta*$H41 + (1-EMA_Beta)*$F42)</f>
        <v>80.037906691643244</v>
      </c>
      <c r="I42" s="46">
        <f ca="1">IF(tbl_AMD[[#This Row],[RS]]= "", "", 100-(100/(1+tbl_AMD[[#This Row],[RS]])))</f>
        <v>68.570191555772666</v>
      </c>
      <c r="J42" s="10">
        <f ca="1">IF(ROW($N42)-4&lt;BB_Periods, "", AVERAGE(INDIRECT(ADDRESS(ROW($F42)-RSI_Periods +1, MATCH("Adj Close", Price_Header,0))): INDIRECT(ADDRESS(ROW($F42),MATCH("Adj Close", Price_Header,0)))))</f>
        <v>78.380000571428567</v>
      </c>
      <c r="K42" s="10">
        <f ca="1">IF(tbl_AMD[[#This Row],[BB_Mean]]="", "", tbl_AMD[[#This Row],[BB_Mean]]+(BB_Width*tbl_AMD[[#This Row],[BB_Stdev]]))</f>
        <v>84.120591262559529</v>
      </c>
      <c r="L42" s="10">
        <f ca="1">IF(tbl_AMD[[#This Row],[BB_Mean]]="", "", tbl_AMD[[#This Row],[BB_Mean]]-(BB_Width*tbl_AMD[[#This Row],[BB_Stdev]]))</f>
        <v>72.639409880297606</v>
      </c>
      <c r="M42" s="46">
        <f>IF(ROW(tbl_AMD[[#This Row],[Adj Close]])=5, 0, $F42-$F41)</f>
        <v>2.870002999999997</v>
      </c>
      <c r="N42" s="46">
        <f>MAX(tbl_AMD[[#This Row],[Move]],0)</f>
        <v>2.870002999999997</v>
      </c>
      <c r="O42" s="46">
        <f>MAX(-tbl_AMD[[#This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1.1235717142857149</v>
      </c>
      <c r="Q42" s="46">
        <f ca="1">IF(ROW($O42)-5&lt;RSI_Periods, "", AVERAGE(INDIRECT(ADDRESS(ROW($O42)-RSI_Periods +1, MATCH("Downmove", Price_Header,0))): INDIRECT(ADDRESS(ROW($O42),MATCH("Downmove", Price_Header,0)))))</f>
        <v>0.51499992857142929</v>
      </c>
      <c r="R42" s="46">
        <f ca="1">IF(tbl_AMD[[#This Row],[Avg_Upmove]]="", "", tbl_AMD[[#This Row],[Avg_Upmove]]/tbl_AMD[[#This Row],[Avg_Downmove]])</f>
        <v>2.1816929516911148</v>
      </c>
      <c r="S42" s="10">
        <f ca="1">IF(ROW($N42)-4&lt;BB_Periods, "", _xlfn.STDEV.S(INDIRECT(ADDRESS(ROW($F42)-RSI_Periods +1, MATCH("Adj Close", Price_Header,0))): INDIRECT(ADDRESS(ROW($F42),MATCH("Adj Close", Price_Header,0)))))</f>
        <v>2.8702953455654834</v>
      </c>
    </row>
    <row r="43" spans="1:19" x14ac:dyDescent="0.35">
      <c r="A43" s="8">
        <v>44106</v>
      </c>
      <c r="B43" s="10">
        <v>82.580001999999993</v>
      </c>
      <c r="C43" s="10">
        <v>84.650002000000001</v>
      </c>
      <c r="D43" s="10">
        <v>81.660004000000001</v>
      </c>
      <c r="E43" s="10">
        <v>81.800003000000004</v>
      </c>
      <c r="F43" s="10">
        <v>81.800003000000004</v>
      </c>
      <c r="G43">
        <v>52855100</v>
      </c>
      <c r="H43" s="10">
        <f>IF(tbl_AMD[[#This Row],[Date]]=$A$5, $F43, EMA_Beta*$H42 + (1-EMA_Beta)*$F43)</f>
        <v>80.21411632247893</v>
      </c>
      <c r="I43" s="46">
        <f ca="1">IF(tbl_AMD[[#This Row],[RS]]= "", "", 100-(100/(1+tbl_AMD[[#This Row],[RS]])))</f>
        <v>57.978727082390982</v>
      </c>
      <c r="J43" s="10">
        <f ca="1">IF(ROW($N43)-4&lt;BB_Periods, "", AVERAGE(INDIRECT(ADDRESS(ROW($F43)-RSI_Periods +1, MATCH("Adj Close", Price_Header,0))): INDIRECT(ADDRESS(ROW($F43),MATCH("Adj Close", Price_Header,0)))))</f>
        <v>78.65857207142858</v>
      </c>
      <c r="K43" s="10">
        <f ca="1">IF(tbl_AMD[[#This Row],[BB_Mean]]="", "", tbl_AMD[[#This Row],[BB_Mean]]+(BB_Width*tbl_AMD[[#This Row],[BB_Stdev]]))</f>
        <v>84.670901165097121</v>
      </c>
      <c r="L43" s="10">
        <f ca="1">IF(tbl_AMD[[#This Row],[BB_Mean]]="", "", tbl_AMD[[#This Row],[BB_Mean]]-(BB_Width*tbl_AMD[[#This Row],[BB_Stdev]]))</f>
        <v>72.646242977760039</v>
      </c>
      <c r="M43" s="46">
        <f>IF(ROW(tbl_AMD[[#This Row],[Adj Close]])=5, 0, $F43-$F42)</f>
        <v>-3.0599979999999931</v>
      </c>
      <c r="N43" s="46">
        <f>MAX(tbl_AMD[[#This Row],[Move]],0)</f>
        <v>0</v>
      </c>
      <c r="O43" s="46">
        <f>MAX(-tbl_AMD[[#This Row],[Move]],0)</f>
        <v>3.0599979999999931</v>
      </c>
      <c r="P43" s="46">
        <f ca="1">IF(ROW($N43)-5&lt;RSI_Periods, "", AVERAGE(INDIRECT(ADDRESS(ROW($N43)-RSI_Periods +1, MATCH("Upmove", Price_Header,0))): INDIRECT(ADDRESS(ROW($N43),MATCH("Upmove", Price_Header,0)))))</f>
        <v>1.0121427142857147</v>
      </c>
      <c r="Q43" s="46">
        <f ca="1">IF(ROW($O43)-5&lt;RSI_Periods, "", AVERAGE(INDIRECT(ADDRESS(ROW($O43)-RSI_Periods +1, MATCH("Downmove", Price_Header,0))): INDIRECT(ADDRESS(ROW($O43),MATCH("Downmove", Price_Header,0)))))</f>
        <v>0.73357121428571459</v>
      </c>
      <c r="R43" s="46">
        <f ca="1">IF(tbl_AMD[[#This Row],[Avg_Upmove]]="", "", tbl_AMD[[#This Row],[Avg_Upmove]]/tbl_AMD[[#This Row],[Avg_Downmove]])</f>
        <v>1.3797470437430508</v>
      </c>
      <c r="S43" s="10">
        <f ca="1">IF(ROW($N43)-4&lt;BB_Periods, "", _xlfn.STDEV.S(INDIRECT(ADDRESS(ROW($F43)-RSI_Periods +1, MATCH("Adj Close", Price_Header,0))): INDIRECT(ADDRESS(ROW($F43),MATCH("Adj Close", Price_Header,0)))))</f>
        <v>3.0061645468342717</v>
      </c>
    </row>
    <row r="44" spans="1:19" x14ac:dyDescent="0.35">
      <c r="A44" s="8">
        <v>44109</v>
      </c>
      <c r="B44" s="10">
        <v>82.550003000000004</v>
      </c>
      <c r="C44" s="10">
        <v>86.279999000000004</v>
      </c>
      <c r="D44" s="10">
        <v>82.550003000000004</v>
      </c>
      <c r="E44" s="10">
        <v>86.150002000000001</v>
      </c>
      <c r="F44" s="10">
        <v>86.150002000000001</v>
      </c>
      <c r="G44">
        <v>47056500</v>
      </c>
      <c r="H44" s="10">
        <f>IF(tbl_AMD[[#This Row],[Date]]=$A$5, $F44, EMA_Beta*$H43 + (1-EMA_Beta)*$F44)</f>
        <v>80.807704890231037</v>
      </c>
      <c r="I44" s="46">
        <f ca="1">IF(tbl_AMD[[#This Row],[RS]]= "", "", 100-(100/(1+tbl_AMD[[#This Row],[RS]])))</f>
        <v>63.004328242698584</v>
      </c>
      <c r="J44" s="10">
        <f ca="1">IF(ROW($N44)-4&lt;BB_Periods, "", AVERAGE(INDIRECT(ADDRESS(ROW($F44)-RSI_Periods +1, MATCH("Adj Close", Price_Header,0))): INDIRECT(ADDRESS(ROW($F44),MATCH("Adj Close", Price_Header,0)))))</f>
        <v>79.174286500000008</v>
      </c>
      <c r="K44" s="10">
        <f ca="1">IF(tbl_AMD[[#This Row],[BB_Mean]]="", "", tbl_AMD[[#This Row],[BB_Mean]]+(BB_Width*tbl_AMD[[#This Row],[BB_Stdev]]))</f>
        <v>86.40255831650019</v>
      </c>
      <c r="L44" s="10">
        <f ca="1">IF(tbl_AMD[[#This Row],[BB_Mean]]="", "", tbl_AMD[[#This Row],[BB_Mean]]-(BB_Width*tbl_AMD[[#This Row],[BB_Stdev]]))</f>
        <v>71.946014683499826</v>
      </c>
      <c r="M44" s="46">
        <f>IF(ROW(tbl_AMD[[#This Row],[Adj Close]])=5, 0, $F44-$F43)</f>
        <v>4.3499989999999968</v>
      </c>
      <c r="N44" s="46">
        <f>MAX(tbl_AMD[[#This Row],[Move]],0)</f>
        <v>4.3499989999999968</v>
      </c>
      <c r="O44" s="46">
        <f>MAX(-tbl_AMD[[#This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1.2492856428571426</v>
      </c>
      <c r="Q44" s="46">
        <f ca="1">IF(ROW($O44)-5&lt;RSI_Periods, "", AVERAGE(INDIRECT(ADDRESS(ROW($O44)-RSI_Periods +1, MATCH("Downmove", Price_Header,0))): INDIRECT(ADDRESS(ROW($O44),MATCH("Downmove", Price_Header,0)))))</f>
        <v>0.73357121428571459</v>
      </c>
      <c r="R44" s="46">
        <f ca="1">IF(tbl_AMD[[#This Row],[Avg_Upmove]]="", "", tbl_AMD[[#This Row],[Avg_Upmove]]/tbl_AMD[[#This Row],[Avg_Downmove]])</f>
        <v>1.703018900589746</v>
      </c>
      <c r="S44" s="10">
        <f ca="1">IF(ROW($N44)-4&lt;BB_Periods, "", _xlfn.STDEV.S(INDIRECT(ADDRESS(ROW($F44)-RSI_Periods +1, MATCH("Adj Close", Price_Header,0))): INDIRECT(ADDRESS(ROW($F44),MATCH("Adj Close", Price_Header,0)))))</f>
        <v>3.6141359082500939</v>
      </c>
    </row>
    <row r="45" spans="1:19" x14ac:dyDescent="0.35">
      <c r="A45" s="8">
        <v>44110</v>
      </c>
      <c r="B45" s="10">
        <v>86.209998999999996</v>
      </c>
      <c r="C45" s="10">
        <v>87.25</v>
      </c>
      <c r="D45" s="10">
        <v>83.540001000000004</v>
      </c>
      <c r="E45" s="10">
        <v>84.480002999999996</v>
      </c>
      <c r="F45" s="10">
        <v>84.480002999999996</v>
      </c>
      <c r="G45">
        <v>52725400</v>
      </c>
      <c r="H45" s="10">
        <f>IF(tbl_AMD[[#This Row],[Date]]=$A$5, $F45, EMA_Beta*$H44 + (1-EMA_Beta)*$F45)</f>
        <v>81.174934701207945</v>
      </c>
      <c r="I45" s="46">
        <f ca="1">IF(tbl_AMD[[#This Row],[RS]]= "", "", 100-(100/(1+tbl_AMD[[#This Row],[RS]])))</f>
        <v>64.396169528577673</v>
      </c>
      <c r="J45" s="10">
        <f ca="1">IF(ROW($N45)-4&lt;BB_Periods, "", AVERAGE(INDIRECT(ADDRESS(ROW($F45)-RSI_Periods +1, MATCH("Adj Close", Price_Header,0))): INDIRECT(ADDRESS(ROW($F45),MATCH("Adj Close", Price_Header,0)))))</f>
        <v>79.732857857142861</v>
      </c>
      <c r="K45" s="10">
        <f ca="1">IF(tbl_AMD[[#This Row],[BB_Mean]]="", "", tbl_AMD[[#This Row],[BB_Mean]]+(BB_Width*tbl_AMD[[#This Row],[BB_Stdev]]))</f>
        <v>87.323676245315525</v>
      </c>
      <c r="L45" s="10">
        <f ca="1">IF(tbl_AMD[[#This Row],[BB_Mean]]="", "", tbl_AMD[[#This Row],[BB_Mean]]-(BB_Width*tbl_AMD[[#This Row],[BB_Stdev]]))</f>
        <v>72.142039468970196</v>
      </c>
      <c r="M45" s="46">
        <f>IF(ROW(tbl_AMD[[#This Row],[Adj Close]])=5, 0, $F45-$F44)</f>
        <v>-1.6699990000000042</v>
      </c>
      <c r="N45" s="46">
        <f>MAX(tbl_AMD[[#This Row],[Move]],0)</f>
        <v>0</v>
      </c>
      <c r="O45" s="46">
        <f>MAX(-tbl_AMD[[#This Row],[Move]],0)</f>
        <v>1.6699990000000042</v>
      </c>
      <c r="P45" s="46">
        <f ca="1">IF(ROW($N45)-5&lt;RSI_Periods, "", AVERAGE(INDIRECT(ADDRESS(ROW($N45)-RSI_Periods +1, MATCH("Upmove", Price_Header,0))): INDIRECT(ADDRESS(ROW($N45),MATCH("Upmove", Price_Header,0)))))</f>
        <v>1.2492856428571426</v>
      </c>
      <c r="Q45" s="46">
        <f ca="1">IF(ROW($O45)-5&lt;RSI_Periods, "", AVERAGE(INDIRECT(ADDRESS(ROW($O45)-RSI_Periods +1, MATCH("Downmove", Price_Header,0))): INDIRECT(ADDRESS(ROW($O45),MATCH("Downmove", Price_Header,0)))))</f>
        <v>0.69071428571428584</v>
      </c>
      <c r="R45" s="46">
        <f ca="1">IF(tbl_AMD[[#This Row],[Avg_Upmove]]="", "", tbl_AMD[[#This Row],[Avg_Upmove]]/tbl_AMD[[#This Row],[Avg_Downmove]])</f>
        <v>1.8086865563598753</v>
      </c>
      <c r="S45" s="10">
        <f ca="1">IF(ROW($N45)-4&lt;BB_Periods, "", _xlfn.STDEV.S(INDIRECT(ADDRESS(ROW($F45)-RSI_Periods +1, MATCH("Adj Close", Price_Header,0))): INDIRECT(ADDRESS(ROW($F45),MATCH("Adj Close", Price_Header,0)))))</f>
        <v>3.7954091940863313</v>
      </c>
    </row>
    <row r="46" spans="1:19" x14ac:dyDescent="0.35">
      <c r="A46" s="8">
        <v>44111</v>
      </c>
      <c r="B46" s="10">
        <v>86.099997999999999</v>
      </c>
      <c r="C46" s="10">
        <v>87.790001000000004</v>
      </c>
      <c r="D46" s="10">
        <v>85.650002000000001</v>
      </c>
      <c r="E46" s="10">
        <v>86.690002000000007</v>
      </c>
      <c r="F46" s="10">
        <v>86.690002000000007</v>
      </c>
      <c r="G46">
        <v>43045700</v>
      </c>
      <c r="H46" s="10">
        <f>IF(tbl_AMD[[#This Row],[Date]]=$A$5, $F46, EMA_Beta*$H45 + (1-EMA_Beta)*$F46)</f>
        <v>81.726441431087153</v>
      </c>
      <c r="I46" s="46">
        <f ca="1">IF(tbl_AMD[[#This Row],[RS]]= "", "", 100-(100/(1+tbl_AMD[[#This Row],[RS]])))</f>
        <v>67.327409500417929</v>
      </c>
      <c r="J46" s="10">
        <f ca="1">IF(ROW($N46)-4&lt;BB_Periods, "", AVERAGE(INDIRECT(ADDRESS(ROW($F46)-RSI_Periods +1, MATCH("Adj Close", Price_Header,0))): INDIRECT(ADDRESS(ROW($F46),MATCH("Adj Close", Price_Header,0)))))</f>
        <v>80.457143500000001</v>
      </c>
      <c r="K46" s="10">
        <f ca="1">IF(tbl_AMD[[#This Row],[BB_Mean]]="", "", tbl_AMD[[#This Row],[BB_Mean]]+(BB_Width*tbl_AMD[[#This Row],[BB_Stdev]]))</f>
        <v>88.650832182728422</v>
      </c>
      <c r="L46" s="10">
        <f ca="1">IF(tbl_AMD[[#This Row],[BB_Mean]]="", "", tbl_AMD[[#This Row],[BB_Mean]]-(BB_Width*tbl_AMD[[#This Row],[BB_Stdev]]))</f>
        <v>72.26345481727158</v>
      </c>
      <c r="M46" s="46">
        <f>IF(ROW(tbl_AMD[[#This Row],[Adj Close]])=5, 0, $F46-$F45)</f>
        <v>2.2099990000000105</v>
      </c>
      <c r="N46" s="46">
        <f>MAX(tbl_AMD[[#This Row],[Move]],0)</f>
        <v>2.2099990000000105</v>
      </c>
      <c r="O46" s="46">
        <f>MAX(-tbl_AMD[[#This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1.4071427142857149</v>
      </c>
      <c r="Q46" s="46">
        <f ca="1">IF(ROW($O46)-5&lt;RSI_Periods, "", AVERAGE(INDIRECT(ADDRESS(ROW($O46)-RSI_Periods +1, MATCH("Downmove", Price_Header,0))): INDIRECT(ADDRESS(ROW($O46),MATCH("Downmove", Price_Header,0)))))</f>
        <v>0.68285707142857177</v>
      </c>
      <c r="R46" s="46">
        <f ca="1">IF(tbl_AMD[[#This Row],[Avg_Upmove]]="", "", tbl_AMD[[#This Row],[Avg_Upmove]]/tbl_AMD[[#This Row],[Avg_Downmove]])</f>
        <v>2.0606694624131237</v>
      </c>
      <c r="S46" s="10">
        <f ca="1">IF(ROW($N46)-4&lt;BB_Periods, "", _xlfn.STDEV.S(INDIRECT(ADDRESS(ROW($F46)-RSI_Periods +1, MATCH("Adj Close", Price_Header,0))): INDIRECT(ADDRESS(ROW($F46),MATCH("Adj Close", Price_Header,0)))))</f>
        <v>4.0968443413642124</v>
      </c>
    </row>
    <row r="47" spans="1:19" x14ac:dyDescent="0.35">
      <c r="A47" s="8">
        <v>44112</v>
      </c>
      <c r="B47" s="10">
        <v>88.110000999999997</v>
      </c>
      <c r="C47" s="10">
        <v>88.720000999999996</v>
      </c>
      <c r="D47" s="10">
        <v>85.949996999999996</v>
      </c>
      <c r="E47" s="10">
        <v>86.510002</v>
      </c>
      <c r="F47" s="10">
        <v>86.510002</v>
      </c>
      <c r="G47">
        <v>54240700</v>
      </c>
      <c r="H47" s="10">
        <f>IF(tbl_AMD[[#This Row],[Date]]=$A$5, $F47, EMA_Beta*$H46 + (1-EMA_Beta)*$F47)</f>
        <v>82.204797487978439</v>
      </c>
      <c r="I47" s="46">
        <f ca="1">IF(tbl_AMD[[#This Row],[RS]]= "", "", 100-(100/(1+tbl_AMD[[#This Row],[RS]])))</f>
        <v>70.812373288074724</v>
      </c>
      <c r="J47" s="10">
        <f ca="1">IF(ROW($N47)-4&lt;BB_Periods, "", AVERAGE(INDIRECT(ADDRESS(ROW($F47)-RSI_Periods +1, MATCH("Adj Close", Price_Header,0))): INDIRECT(ADDRESS(ROW($F47),MATCH("Adj Close", Price_Header,0)))))</f>
        <v>81.284286500000007</v>
      </c>
      <c r="K47" s="10">
        <f ca="1">IF(tbl_AMD[[#This Row],[BB_Mean]]="", "", tbl_AMD[[#This Row],[BB_Mean]]+(BB_Width*tbl_AMD[[#This Row],[BB_Stdev]]))</f>
        <v>89.412172011817248</v>
      </c>
      <c r="L47" s="10">
        <f ca="1">IF(tbl_AMD[[#This Row],[BB_Mean]]="", "", tbl_AMD[[#This Row],[BB_Mean]]-(BB_Width*tbl_AMD[[#This Row],[BB_Stdev]]))</f>
        <v>73.156400988182767</v>
      </c>
      <c r="M47" s="46">
        <f>IF(ROW(tbl_AMD[[#This Row],[Adj Close]])=5, 0, $F47-$F46)</f>
        <v>-0.18000000000000682</v>
      </c>
      <c r="N47" s="46">
        <f>MAX(tbl_AMD[[#This Row],[Move]],0)</f>
        <v>0</v>
      </c>
      <c r="O47" s="46">
        <f>MAX(-tbl_AMD[[#This Row],[Move]],0)</f>
        <v>0.18000000000000682</v>
      </c>
      <c r="P47" s="46">
        <f ca="1">IF(ROW($N47)-5&lt;RSI_Periods, "", AVERAGE(INDIRECT(ADDRESS(ROW($N47)-RSI_Periods +1, MATCH("Upmove", Price_Header,0))): INDIRECT(ADDRESS(ROW($N47),MATCH("Upmove", Price_Header,0)))))</f>
        <v>1.4071427142857149</v>
      </c>
      <c r="Q47" s="46">
        <f ca="1">IF(ROW($O47)-5&lt;RSI_Periods, "", AVERAGE(INDIRECT(ADDRESS(ROW($O47)-RSI_Periods +1, MATCH("Downmove", Price_Header,0))): INDIRECT(ADDRESS(ROW($O47),MATCH("Downmove", Price_Header,0)))))</f>
        <v>0.57999971428571528</v>
      </c>
      <c r="R47" s="46">
        <f ca="1">IF(tbl_AMD[[#This Row],[Avg_Upmove]]="", "", tbl_AMD[[#This Row],[Avg_Upmove]]/tbl_AMD[[#This Row],[Avg_Downmove]])</f>
        <v>2.42610932320656</v>
      </c>
      <c r="S47" s="10">
        <f ca="1">IF(ROW($N47)-4&lt;BB_Periods, "", _xlfn.STDEV.S(INDIRECT(ADDRESS(ROW($F47)-RSI_Periods +1, MATCH("Adj Close", Price_Header,0))): INDIRECT(ADDRESS(ROW($F47),MATCH("Adj Close", Price_Header,0)))))</f>
        <v>4.0639427559086183</v>
      </c>
    </row>
    <row r="48" spans="1:19" x14ac:dyDescent="0.35">
      <c r="A48" s="8">
        <v>44113</v>
      </c>
      <c r="B48" s="10">
        <v>84.739998</v>
      </c>
      <c r="C48" s="10">
        <v>85.75</v>
      </c>
      <c r="D48" s="10">
        <v>82.349997999999999</v>
      </c>
      <c r="E48" s="10">
        <v>83.099997999999999</v>
      </c>
      <c r="F48" s="10">
        <v>83.099997999999999</v>
      </c>
      <c r="G48">
        <v>80354400</v>
      </c>
      <c r="H48" s="10">
        <f>IF(tbl_AMD[[#This Row],[Date]]=$A$5, $F48, EMA_Beta*$H47 + (1-EMA_Beta)*$F48)</f>
        <v>82.294317539180597</v>
      </c>
      <c r="I48" s="46">
        <f ca="1">IF(tbl_AMD[[#This Row],[RS]]= "", "", 100-(100/(1+tbl_AMD[[#This Row],[RS]])))</f>
        <v>59.142446370297129</v>
      </c>
      <c r="J48" s="10">
        <f ca="1">IF(ROW($N48)-4&lt;BB_Periods, "", AVERAGE(INDIRECT(ADDRESS(ROW($F48)-RSI_Periods +1, MATCH("Adj Close", Price_Header,0))): INDIRECT(ADDRESS(ROW($F48),MATCH("Adj Close", Price_Header,0)))))</f>
        <v>81.652857642857143</v>
      </c>
      <c r="K48" s="10">
        <f ca="1">IF(tbl_AMD[[#This Row],[BB_Mean]]="", "", tbl_AMD[[#This Row],[BB_Mean]]+(BB_Width*tbl_AMD[[#This Row],[BB_Stdev]]))</f>
        <v>89.593288617681964</v>
      </c>
      <c r="L48" s="10">
        <f ca="1">IF(tbl_AMD[[#This Row],[BB_Mean]]="", "", tbl_AMD[[#This Row],[BB_Mean]]-(BB_Width*tbl_AMD[[#This Row],[BB_Stdev]]))</f>
        <v>73.712426668032322</v>
      </c>
      <c r="M48" s="46">
        <f>IF(ROW(tbl_AMD[[#This Row],[Adj Close]])=5, 0, $F48-$F47)</f>
        <v>-3.4100040000000007</v>
      </c>
      <c r="N48" s="46">
        <f>MAX(tbl_AMD[[#This Row],[Move]],0)</f>
        <v>0</v>
      </c>
      <c r="O48" s="46">
        <f>MAX(-tbl_AMD[[#This Row],[Move]],0)</f>
        <v>3.4100040000000007</v>
      </c>
      <c r="P48" s="46">
        <f ca="1">IF(ROW($N48)-5&lt;RSI_Periods, "", AVERAGE(INDIRECT(ADDRESS(ROW($N48)-RSI_Periods +1, MATCH("Upmove", Price_Header,0))): INDIRECT(ADDRESS(ROW($N48),MATCH("Upmove", Price_Header,0)))))</f>
        <v>1.1921425714285721</v>
      </c>
      <c r="Q48" s="46">
        <f ca="1">IF(ROW($O48)-5&lt;RSI_Periods, "", AVERAGE(INDIRECT(ADDRESS(ROW($O48)-RSI_Periods +1, MATCH("Downmove", Price_Header,0))): INDIRECT(ADDRESS(ROW($O48),MATCH("Downmove", Price_Header,0)))))</f>
        <v>0.82357142857142962</v>
      </c>
      <c r="R48" s="46">
        <f ca="1">IF(tbl_AMD[[#This Row],[Avg_Upmove]]="", "", tbl_AMD[[#This Row],[Avg_Upmove]]/tbl_AMD[[#This Row],[Avg_Downmove]])</f>
        <v>1.4475278404163041</v>
      </c>
      <c r="S48" s="10">
        <f ca="1">IF(ROW($N48)-4&lt;BB_Periods, "", _xlfn.STDEV.S(INDIRECT(ADDRESS(ROW($F48)-RSI_Periods +1, MATCH("Adj Close", Price_Header,0))): INDIRECT(ADDRESS(ROW($F48),MATCH("Adj Close", Price_Header,0)))))</f>
        <v>3.9702154874124083</v>
      </c>
    </row>
    <row r="49" spans="1:19" x14ac:dyDescent="0.35">
      <c r="A49" s="8">
        <v>44116</v>
      </c>
      <c r="B49" s="10">
        <v>83.650002000000001</v>
      </c>
      <c r="C49" s="10">
        <v>85.129997000000003</v>
      </c>
      <c r="D49" s="10">
        <v>83.120002999999997</v>
      </c>
      <c r="E49" s="10">
        <v>84.290001000000004</v>
      </c>
      <c r="F49" s="10">
        <v>84.290001000000004</v>
      </c>
      <c r="G49">
        <v>47669700</v>
      </c>
      <c r="H49" s="10">
        <f>IF(tbl_AMD[[#This Row],[Date]]=$A$5, $F49, EMA_Beta*$H48 + (1-EMA_Beta)*$F49)</f>
        <v>82.493885885262529</v>
      </c>
      <c r="I49" s="46">
        <f ca="1">IF(tbl_AMD[[#This Row],[RS]]= "", "", 100-(100/(1+tbl_AMD[[#This Row],[RS]])))</f>
        <v>61.295861082453435</v>
      </c>
      <c r="J49" s="10">
        <f ca="1">IF(ROW($N49)-4&lt;BB_Periods, "", AVERAGE(INDIRECT(ADDRESS(ROW($F49)-RSI_Periods +1, MATCH("Adj Close", Price_Header,0))): INDIRECT(ADDRESS(ROW($F49),MATCH("Adj Close", Price_Header,0)))))</f>
        <v>82.123572214285716</v>
      </c>
      <c r="K49" s="10">
        <f ca="1">IF(tbl_AMD[[#This Row],[BB_Mean]]="", "", tbl_AMD[[#This Row],[BB_Mean]]+(BB_Width*tbl_AMD[[#This Row],[BB_Stdev]]))</f>
        <v>89.832535032481616</v>
      </c>
      <c r="L49" s="10">
        <f ca="1">IF(tbl_AMD[[#This Row],[BB_Mean]]="", "", tbl_AMD[[#This Row],[BB_Mean]]-(BB_Width*tbl_AMD[[#This Row],[BB_Stdev]]))</f>
        <v>74.414609396089816</v>
      </c>
      <c r="M49" s="46">
        <f>IF(ROW(tbl_AMD[[#This Row],[Adj Close]])=5, 0, $F49-$F48)</f>
        <v>1.1900030000000044</v>
      </c>
      <c r="N49" s="46">
        <f>MAX(tbl_AMD[[#This Row],[Move]],0)</f>
        <v>1.1900030000000044</v>
      </c>
      <c r="O49" s="46">
        <f>MAX(-tbl_AMD[[#This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1.2771427857142865</v>
      </c>
      <c r="Q49" s="46">
        <f ca="1">IF(ROW($O49)-5&lt;RSI_Periods, "", AVERAGE(INDIRECT(ADDRESS(ROW($O49)-RSI_Periods +1, MATCH("Downmove", Price_Header,0))): INDIRECT(ADDRESS(ROW($O49),MATCH("Downmove", Price_Header,0)))))</f>
        <v>0.80642821428571465</v>
      </c>
      <c r="R49" s="46">
        <f ca="1">IF(tbl_AMD[[#This Row],[Avg_Upmove]]="", "", tbl_AMD[[#This Row],[Avg_Upmove]]/tbl_AMD[[#This Row],[Avg_Downmove]])</f>
        <v>1.5837030042971678</v>
      </c>
      <c r="S49" s="10">
        <f ca="1">IF(ROW($N49)-4&lt;BB_Periods, "", _xlfn.STDEV.S(INDIRECT(ADDRESS(ROW($F49)-RSI_Periods +1, MATCH("Adj Close", Price_Header,0))): INDIRECT(ADDRESS(ROW($F49),MATCH("Adj Close", Price_Header,0)))))</f>
        <v>3.8544814090979527</v>
      </c>
    </row>
    <row r="50" spans="1:19" x14ac:dyDescent="0.35">
      <c r="A50" s="8">
        <v>44117</v>
      </c>
      <c r="B50" s="10">
        <v>84.860000999999997</v>
      </c>
      <c r="C50" s="10">
        <v>86.089995999999999</v>
      </c>
      <c r="D50" s="10">
        <v>83.970000999999996</v>
      </c>
      <c r="E50" s="10">
        <v>85.279999000000004</v>
      </c>
      <c r="F50" s="10">
        <v>85.279999000000004</v>
      </c>
      <c r="G50">
        <v>42764100</v>
      </c>
      <c r="H50" s="10">
        <f>IF(tbl_AMD[[#This Row],[Date]]=$A$5, $F50, EMA_Beta*$H49 + (1-EMA_Beta)*$F50)</f>
        <v>82.772497196736282</v>
      </c>
      <c r="I50" s="46">
        <f ca="1">IF(tbl_AMD[[#This Row],[RS]]= "", "", 100-(100/(1+tbl_AMD[[#This Row],[RS]])))</f>
        <v>69.400508966569248</v>
      </c>
      <c r="J50" s="10">
        <f ca="1">IF(ROW($N50)-4&lt;BB_Periods, "", AVERAGE(INDIRECT(ADDRESS(ROW($F50)-RSI_Periods +1, MATCH("Adj Close", Price_Header,0))): INDIRECT(ADDRESS(ROW($F50),MATCH("Adj Close", Price_Header,0)))))</f>
        <v>82.877143357142856</v>
      </c>
      <c r="K50" s="10">
        <f ca="1">IF(tbl_AMD[[#This Row],[BB_Mean]]="", "", tbl_AMD[[#This Row],[BB_Mean]]+(BB_Width*tbl_AMD[[#This Row],[BB_Stdev]]))</f>
        <v>89.451904936074726</v>
      </c>
      <c r="L50" s="10">
        <f ca="1">IF(tbl_AMD[[#This Row],[BB_Mean]]="", "", tbl_AMD[[#This Row],[BB_Mean]]-(BB_Width*tbl_AMD[[#This Row],[BB_Stdev]]))</f>
        <v>76.302381778210986</v>
      </c>
      <c r="M50" s="46">
        <f>IF(ROW(tbl_AMD[[#This Row],[Adj Close]])=5, 0, $F50-$F49)</f>
        <v>0.98999799999999993</v>
      </c>
      <c r="N50" s="46">
        <f>MAX(tbl_AMD[[#This Row],[Move]],0)</f>
        <v>0.98999799999999993</v>
      </c>
      <c r="O50" s="46">
        <f>MAX(-tbl_AMD[[#This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1.3478569285714295</v>
      </c>
      <c r="Q50" s="46">
        <f ca="1">IF(ROW($O50)-5&lt;RSI_Periods, "", AVERAGE(INDIRECT(ADDRESS(ROW($O50)-RSI_Periods +1, MATCH("Downmove", Price_Header,0))): INDIRECT(ADDRESS(ROW($O50),MATCH("Downmove", Price_Header,0)))))</f>
        <v>0.59428578571428603</v>
      </c>
      <c r="R50" s="46">
        <f ca="1">IF(tbl_AMD[[#This Row],[Avg_Upmove]]="", "", tbl_AMD[[#This Row],[Avg_Upmove]]/tbl_AMD[[#This Row],[Avg_Downmove]])</f>
        <v>2.2680282129773786</v>
      </c>
      <c r="S50" s="10">
        <f ca="1">IF(ROW($N50)-4&lt;BB_Periods, "", _xlfn.STDEV.S(INDIRECT(ADDRESS(ROW($F50)-RSI_Periods +1, MATCH("Adj Close", Price_Header,0))): INDIRECT(ADDRESS(ROW($F50),MATCH("Adj Close", Price_Header,0)))))</f>
        <v>3.2873807894659315</v>
      </c>
    </row>
    <row r="51" spans="1:19" x14ac:dyDescent="0.35">
      <c r="A51" s="8">
        <v>44118</v>
      </c>
      <c r="B51" s="10">
        <v>85.860000999999997</v>
      </c>
      <c r="C51" s="10">
        <v>85.959998999999996</v>
      </c>
      <c r="D51" s="10">
        <v>83.459998999999996</v>
      </c>
      <c r="E51" s="10">
        <v>84.209998999999996</v>
      </c>
      <c r="F51" s="10">
        <v>84.209998999999996</v>
      </c>
      <c r="G51">
        <v>40446700</v>
      </c>
      <c r="H51" s="10">
        <f>IF(tbl_AMD[[#This Row],[Date]]=$A$5, $F51, EMA_Beta*$H50 + (1-EMA_Beta)*$F51)</f>
        <v>82.91624737706266</v>
      </c>
      <c r="I51" s="46">
        <f ca="1">IF(tbl_AMD[[#This Row],[RS]]= "", "", 100-(100/(1+tbl_AMD[[#This Row],[RS]])))</f>
        <v>65.43982092602792</v>
      </c>
      <c r="J51" s="10">
        <f ca="1">IF(ROW($N51)-4&lt;BB_Periods, "", AVERAGE(INDIRECT(ADDRESS(ROW($F51)-RSI_Periods +1, MATCH("Adj Close", Price_Header,0))): INDIRECT(ADDRESS(ROW($F51),MATCH("Adj Close", Price_Header,0)))))</f>
        <v>83.47642900000001</v>
      </c>
      <c r="K51" s="10">
        <f ca="1">IF(tbl_AMD[[#This Row],[BB_Mean]]="", "", tbl_AMD[[#This Row],[BB_Mean]]+(BB_Width*tbl_AMD[[#This Row],[BB_Stdev]]))</f>
        <v>88.663233790011802</v>
      </c>
      <c r="L51" s="10">
        <f ca="1">IF(tbl_AMD[[#This Row],[BB_Mean]]="", "", tbl_AMD[[#This Row],[BB_Mean]]-(BB_Width*tbl_AMD[[#This Row],[BB_Stdev]]))</f>
        <v>78.289624209988219</v>
      </c>
      <c r="M51" s="46">
        <f>IF(ROW(tbl_AMD[[#This Row],[Adj Close]])=5, 0, $F51-$F50)</f>
        <v>-1.0700000000000074</v>
      </c>
      <c r="N51" s="46">
        <f>MAX(tbl_AMD[[#This Row],[Move]],0)</f>
        <v>0</v>
      </c>
      <c r="O51" s="46">
        <f>MAX(-tbl_AMD[[#This Row],[Move]],0)</f>
        <v>1.0700000000000074</v>
      </c>
      <c r="P51" s="46">
        <f ca="1">IF(ROW($N51)-5&lt;RSI_Periods, "", AVERAGE(INDIRECT(ADDRESS(ROW($N51)-RSI_Periods +1, MATCH("Upmove", Price_Header,0))): INDIRECT(ADDRESS(ROW($N51),MATCH("Upmove", Price_Header,0)))))</f>
        <v>1.2700000000000011</v>
      </c>
      <c r="Q51" s="46">
        <f ca="1">IF(ROW($O51)-5&lt;RSI_Periods, "", AVERAGE(INDIRECT(ADDRESS(ROW($O51)-RSI_Periods +1, MATCH("Downmove", Price_Header,0))): INDIRECT(ADDRESS(ROW($O51),MATCH("Downmove", Price_Header,0)))))</f>
        <v>0.67071435714285799</v>
      </c>
      <c r="R51" s="46">
        <f ca="1">IF(tbl_AMD[[#This Row],[Avg_Upmove]]="", "", tbl_AMD[[#This Row],[Avg_Upmove]]/tbl_AMD[[#This Row],[Avg_Downmove]])</f>
        <v>1.8935035257184736</v>
      </c>
      <c r="S51" s="10">
        <f ca="1">IF(ROW($N51)-4&lt;BB_Periods, "", _xlfn.STDEV.S(INDIRECT(ADDRESS(ROW($F51)-RSI_Periods +1, MATCH("Adj Close", Price_Header,0))): INDIRECT(ADDRESS(ROW($F51),MATCH("Adj Close", Price_Header,0)))))</f>
        <v>2.5934023950058958</v>
      </c>
    </row>
    <row r="52" spans="1:19" x14ac:dyDescent="0.35">
      <c r="A52" s="8">
        <v>44119</v>
      </c>
      <c r="B52" s="10">
        <v>83.400002000000001</v>
      </c>
      <c r="C52" s="10">
        <v>84.720000999999996</v>
      </c>
      <c r="D52" s="10">
        <v>82.419998000000007</v>
      </c>
      <c r="E52" s="10">
        <v>83.129997000000003</v>
      </c>
      <c r="F52" s="10">
        <v>83.129997000000003</v>
      </c>
      <c r="G52">
        <v>33696400</v>
      </c>
      <c r="H52" s="10">
        <f>IF(tbl_AMD[[#This Row],[Date]]=$A$5, $F52, EMA_Beta*$H51 + (1-EMA_Beta)*$F52)</f>
        <v>82.937622339356409</v>
      </c>
      <c r="I52" s="46">
        <f ca="1">IF(tbl_AMD[[#This Row],[RS]]= "", "", 100-(100/(1+tbl_AMD[[#This Row],[RS]])))</f>
        <v>59.746247645857828</v>
      </c>
      <c r="J52" s="10">
        <f ca="1">IF(ROW($N52)-4&lt;BB_Periods, "", AVERAGE(INDIRECT(ADDRESS(ROW($F52)-RSI_Periods +1, MATCH("Adj Close", Price_Header,0))): INDIRECT(ADDRESS(ROW($F52),MATCH("Adj Close", Price_Header,0)))))</f>
        <v>83.838571785714294</v>
      </c>
      <c r="K52" s="10">
        <f ca="1">IF(tbl_AMD[[#This Row],[BB_Mean]]="", "", tbl_AMD[[#This Row],[BB_Mean]]+(BB_Width*tbl_AMD[[#This Row],[BB_Stdev]]))</f>
        <v>88.003657233648354</v>
      </c>
      <c r="L52" s="10">
        <f ca="1">IF(tbl_AMD[[#This Row],[BB_Mean]]="", "", tbl_AMD[[#This Row],[BB_Mean]]-(BB_Width*tbl_AMD[[#This Row],[BB_Stdev]]))</f>
        <v>79.673486337780233</v>
      </c>
      <c r="M52" s="46">
        <f>IF(ROW(tbl_AMD[[#This Row],[Adj Close]])=5, 0, $F52-$F51)</f>
        <v>-1.0800019999999932</v>
      </c>
      <c r="N52" s="46">
        <f>MAX(tbl_AMD[[#This Row],[Move]],0)</f>
        <v>0</v>
      </c>
      <c r="O52" s="46">
        <f>MAX(-tbl_AMD[[#This Row],[Move]],0)</f>
        <v>1.0800019999999932</v>
      </c>
      <c r="P52" s="46">
        <f ca="1">IF(ROW($N52)-5&lt;RSI_Periods, "", AVERAGE(INDIRECT(ADDRESS(ROW($N52)-RSI_Periods +1, MATCH("Upmove", Price_Header,0))): INDIRECT(ADDRESS(ROW($N52),MATCH("Upmove", Price_Header,0)))))</f>
        <v>1.110000142857144</v>
      </c>
      <c r="Q52" s="46">
        <f ca="1">IF(ROW($O52)-5&lt;RSI_Periods, "", AVERAGE(INDIRECT(ADDRESS(ROW($O52)-RSI_Periods +1, MATCH("Downmove", Price_Header,0))): INDIRECT(ADDRESS(ROW($O52),MATCH("Downmove", Price_Header,0)))))</f>
        <v>0.7478573571428575</v>
      </c>
      <c r="R52" s="46">
        <f ca="1">IF(tbl_AMD[[#This Row],[Avg_Upmove]]="", "", tbl_AMD[[#This Row],[Avg_Upmove]]/tbl_AMD[[#This Row],[Avg_Downmove]])</f>
        <v>1.484240453417254</v>
      </c>
      <c r="S52" s="10">
        <f ca="1">IF(ROW($N52)-4&lt;BB_Periods, "", _xlfn.STDEV.S(INDIRECT(ADDRESS(ROW($F52)-RSI_Periods +1, MATCH("Adj Close", Price_Header,0))): INDIRECT(ADDRESS(ROW($F52),MATCH("Adj Close", Price_Header,0)))))</f>
        <v>2.0825427239670335</v>
      </c>
    </row>
    <row r="53" spans="1:19" x14ac:dyDescent="0.35">
      <c r="A53" s="8">
        <v>44120</v>
      </c>
      <c r="B53" s="10">
        <v>83.540001000000004</v>
      </c>
      <c r="C53" s="10">
        <v>83.989998</v>
      </c>
      <c r="D53" s="10">
        <v>82.410004000000001</v>
      </c>
      <c r="E53" s="10">
        <v>83.169998000000007</v>
      </c>
      <c r="F53" s="10">
        <v>83.169998000000007</v>
      </c>
      <c r="G53">
        <v>31474300</v>
      </c>
      <c r="H53" s="10">
        <f>IF(tbl_AMD[[#This Row],[Date]]=$A$5, $F53, EMA_Beta*$H52 + (1-EMA_Beta)*$F53)</f>
        <v>82.960859905420776</v>
      </c>
      <c r="I53" s="46">
        <f ca="1">IF(tbl_AMD[[#This Row],[RS]]= "", "", 100-(100/(1+tbl_AMD[[#This Row],[RS]])))</f>
        <v>57.490854344666914</v>
      </c>
      <c r="J53" s="10">
        <f ca="1">IF(ROW($N53)-4&lt;BB_Periods, "", AVERAGE(INDIRECT(ADDRESS(ROW($F53)-RSI_Periods +1, MATCH("Adj Close", Price_Header,0))): INDIRECT(ADDRESS(ROW($F53),MATCH("Adj Close", Price_Header,0)))))</f>
        <v>84.102142857142866</v>
      </c>
      <c r="K53" s="10">
        <f ca="1">IF(tbl_AMD[[#This Row],[BB_Mean]]="", "", tbl_AMD[[#This Row],[BB_Mean]]+(BB_Width*tbl_AMD[[#This Row],[BB_Stdev]]))</f>
        <v>87.469775564794645</v>
      </c>
      <c r="L53" s="10">
        <f ca="1">IF(tbl_AMD[[#This Row],[BB_Mean]]="", "", tbl_AMD[[#This Row],[BB_Mean]]-(BB_Width*tbl_AMD[[#This Row],[BB_Stdev]]))</f>
        <v>80.734510149491086</v>
      </c>
      <c r="M53" s="46">
        <f>IF(ROW(tbl_AMD[[#This Row],[Adj Close]])=5, 0, $F53-$F52)</f>
        <v>4.0001000000003728E-2</v>
      </c>
      <c r="N53" s="46">
        <f>MAX(tbl_AMD[[#This Row],[Move]],0)</f>
        <v>4.0001000000003728E-2</v>
      </c>
      <c r="O53" s="46">
        <f>MAX(-tbl_AMD[[#This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1.0114284285714297</v>
      </c>
      <c r="Q53" s="46">
        <f ca="1">IF(ROW($O53)-5&lt;RSI_Periods, "", AVERAGE(INDIRECT(ADDRESS(ROW($O53)-RSI_Periods +1, MATCH("Downmove", Price_Header,0))): INDIRECT(ADDRESS(ROW($O53),MATCH("Downmove", Price_Header,0)))))</f>
        <v>0.7478573571428575</v>
      </c>
      <c r="R53" s="46">
        <f ca="1">IF(tbl_AMD[[#This Row],[Avg_Upmove]]="", "", tbl_AMD[[#This Row],[Avg_Upmove]]/tbl_AMD[[#This Row],[Avg_Downmove]])</f>
        <v>1.352434951546815</v>
      </c>
      <c r="S53" s="10">
        <f ca="1">IF(ROW($N53)-4&lt;BB_Periods, "", _xlfn.STDEV.S(INDIRECT(ADDRESS(ROW($F53)-RSI_Periods +1, MATCH("Adj Close", Price_Header,0))): INDIRECT(ADDRESS(ROW($F53),MATCH("Adj Close", Price_Header,0)))))</f>
        <v>1.6838163538258903</v>
      </c>
    </row>
    <row r="54" spans="1:19" x14ac:dyDescent="0.35">
      <c r="A54" s="8">
        <v>44123</v>
      </c>
      <c r="B54" s="10">
        <v>83.620002999999997</v>
      </c>
      <c r="C54" s="10">
        <v>84.650002000000001</v>
      </c>
      <c r="D54" s="10">
        <v>81.529999000000004</v>
      </c>
      <c r="E54" s="10">
        <v>82</v>
      </c>
      <c r="F54" s="10">
        <v>82</v>
      </c>
      <c r="G54">
        <v>36689100</v>
      </c>
      <c r="H54" s="10">
        <f>IF(tbl_AMD[[#This Row],[Date]]=$A$5, $F54, EMA_Beta*$H53 + (1-EMA_Beta)*$F54)</f>
        <v>82.864773914878697</v>
      </c>
      <c r="I54" s="46">
        <f ca="1">IF(tbl_AMD[[#This Row],[RS]]= "", "", 100-(100/(1+tbl_AMD[[#This Row],[RS]])))</f>
        <v>50.489159827911557</v>
      </c>
      <c r="J54" s="10">
        <f ca="1">IF(ROW($N54)-4&lt;BB_Periods, "", AVERAGE(INDIRECT(ADDRESS(ROW($F54)-RSI_Periods +1, MATCH("Adj Close", Price_Header,0))): INDIRECT(ADDRESS(ROW($F54),MATCH("Adj Close", Price_Header,0)))))</f>
        <v>84.118571642857134</v>
      </c>
      <c r="K54" s="10">
        <f ca="1">IF(tbl_AMD[[#This Row],[BB_Mean]]="", "", tbl_AMD[[#This Row],[BB_Mean]]+(BB_Width*tbl_AMD[[#This Row],[BB_Stdev]]))</f>
        <v>87.439109564857915</v>
      </c>
      <c r="L54" s="10">
        <f ca="1">IF(tbl_AMD[[#This Row],[BB_Mean]]="", "", tbl_AMD[[#This Row],[BB_Mean]]-(BB_Width*tbl_AMD[[#This Row],[BB_Stdev]]))</f>
        <v>80.798033720856353</v>
      </c>
      <c r="M54" s="46">
        <f>IF(ROW(tbl_AMD[[#This Row],[Adj Close]])=5, 0, $F54-$F53)</f>
        <v>-1.1699980000000068</v>
      </c>
      <c r="N54" s="46">
        <f>MAX(tbl_AMD[[#This Row],[Move]],0)</f>
        <v>0</v>
      </c>
      <c r="O54" s="46">
        <f>MAX(-tbl_AMD[[#This Row],[Move]],0)</f>
        <v>1.1699980000000068</v>
      </c>
      <c r="P54" s="46">
        <f ca="1">IF(ROW($N54)-5&lt;RSI_Periods, "", AVERAGE(INDIRECT(ADDRESS(ROW($N54)-RSI_Periods +1, MATCH("Upmove", Price_Header,0))): INDIRECT(ADDRESS(ROW($N54),MATCH("Upmove", Price_Header,0)))))</f>
        <v>0.84785742857142921</v>
      </c>
      <c r="Q54" s="46">
        <f ca="1">IF(ROW($O54)-5&lt;RSI_Periods, "", AVERAGE(INDIRECT(ADDRESS(ROW($O54)-RSI_Periods +1, MATCH("Downmove", Price_Header,0))): INDIRECT(ADDRESS(ROW($O54),MATCH("Downmove", Price_Header,0)))))</f>
        <v>0.83142864285714368</v>
      </c>
      <c r="R54" s="46">
        <f ca="1">IF(tbl_AMD[[#This Row],[Avg_Upmove]]="", "", tbl_AMD[[#This Row],[Avg_Upmove]]/tbl_AMD[[#This Row],[Avg_Downmove]])</f>
        <v>1.0197597062062105</v>
      </c>
      <c r="S54" s="10">
        <f ca="1">IF(ROW($N54)-4&lt;BB_Periods, "", _xlfn.STDEV.S(INDIRECT(ADDRESS(ROW($F54)-RSI_Periods +1, MATCH("Adj Close", Price_Header,0))): INDIRECT(ADDRESS(ROW($F54),MATCH("Adj Close", Price_Header,0)))))</f>
        <v>1.6602689610003931</v>
      </c>
    </row>
    <row r="55" spans="1:19" x14ac:dyDescent="0.35">
      <c r="A55" s="8">
        <v>44124</v>
      </c>
      <c r="B55" s="10">
        <v>82.16</v>
      </c>
      <c r="C55" s="10">
        <v>82.69</v>
      </c>
      <c r="D55" s="10">
        <v>20.58</v>
      </c>
      <c r="E55" s="10">
        <v>81.56</v>
      </c>
      <c r="F55" s="10">
        <v>81.56</v>
      </c>
      <c r="G55">
        <v>38219400</v>
      </c>
      <c r="H55" s="10">
        <f>IF(tbl_AMD[[#This Row],[Date]]=$A$5, $F55, EMA_Beta*$H54 + (1-EMA_Beta)*$F55)</f>
        <v>82.734296523390839</v>
      </c>
      <c r="I55" s="46">
        <f ca="1">IF(tbl_AMD[[#This Row],[RS]]= "", "", 100-(100/(1+tbl_AMD[[#This Row],[RS]])))</f>
        <v>49.093978239531694</v>
      </c>
      <c r="J55" s="10">
        <f ca="1">IF(ROW($N55)-4&lt;BB_Periods, "", AVERAGE(INDIRECT(ADDRESS(ROW($F55)-RSI_Periods +1, MATCH("Adj Close", Price_Header,0))): INDIRECT(ADDRESS(ROW($F55),MATCH("Adj Close", Price_Header,0)))))</f>
        <v>84.087857499999998</v>
      </c>
      <c r="K55" s="10">
        <f ca="1">IF(tbl_AMD[[#This Row],[BB_Mean]]="", "", tbl_AMD[[#This Row],[BB_Mean]]+(BB_Width*tbl_AMD[[#This Row],[BB_Stdev]]))</f>
        <v>87.499902471106083</v>
      </c>
      <c r="L55" s="10">
        <f ca="1">IF(tbl_AMD[[#This Row],[BB_Mean]]="", "", tbl_AMD[[#This Row],[BB_Mean]]-(BB_Width*tbl_AMD[[#This Row],[BB_Stdev]]))</f>
        <v>80.675812528893914</v>
      </c>
      <c r="M55" s="46">
        <f>IF(ROW(tbl_AMD[[#This Row],[Adj Close]])=5, 0, $F55-$F54)</f>
        <v>-0.43999999999999773</v>
      </c>
      <c r="N55" s="46">
        <f>MAX(tbl_AMD[[#This Row],[Move]],0)</f>
        <v>0</v>
      </c>
      <c r="O55" s="46">
        <f>MAX(-tbl_AMD[[#This Row],[Move]],0)</f>
        <v>0.43999999999999773</v>
      </c>
      <c r="P55" s="46">
        <f ca="1">IF(ROW($N55)-5&lt;RSI_Periods, "", AVERAGE(INDIRECT(ADDRESS(ROW($N55)-RSI_Periods +1, MATCH("Upmove", Price_Header,0))): INDIRECT(ADDRESS(ROW($N55),MATCH("Upmove", Price_Header,0)))))</f>
        <v>0.83214307142857236</v>
      </c>
      <c r="Q55" s="46">
        <f ca="1">IF(ROW($O55)-5&lt;RSI_Periods, "", AVERAGE(INDIRECT(ADDRESS(ROW($O55)-RSI_Periods +1, MATCH("Downmove", Price_Header,0))): INDIRECT(ADDRESS(ROW($O55),MATCH("Downmove", Price_Header,0)))))</f>
        <v>0.86285721428571505</v>
      </c>
      <c r="R55" s="46">
        <f ca="1">IF(tbl_AMD[[#This Row],[Avg_Upmove]]="", "", tbl_AMD[[#This Row],[Avg_Upmove]]/tbl_AMD[[#This Row],[Avg_Downmove]])</f>
        <v>0.96440414201952485</v>
      </c>
      <c r="S55" s="10">
        <f ca="1">IF(ROW($N55)-4&lt;BB_Periods, "", _xlfn.STDEV.S(INDIRECT(ADDRESS(ROW($F55)-RSI_Periods +1, MATCH("Adj Close", Price_Header,0))): INDIRECT(ADDRESS(ROW($F55),MATCH("Adj Close", Price_Header,0)))))</f>
        <v>1.7060224855530413</v>
      </c>
    </row>
    <row r="56" spans="1:19" x14ac:dyDescent="0.35">
      <c r="A56" s="8">
        <v>44125</v>
      </c>
      <c r="B56" s="10">
        <v>81.72</v>
      </c>
      <c r="C56" s="10">
        <v>81.93</v>
      </c>
      <c r="D56" s="10">
        <v>79.19</v>
      </c>
      <c r="E56" s="10">
        <v>79.2</v>
      </c>
      <c r="F56" s="10">
        <v>79.2</v>
      </c>
      <c r="G56">
        <v>36426400</v>
      </c>
      <c r="H56" s="10">
        <f>IF(tbl_AMD[[#This Row],[Date]]=$A$5, $F56, EMA_Beta*$H55 + (1-EMA_Beta)*$F56)</f>
        <v>82.380866871051765</v>
      </c>
      <c r="I56" s="46">
        <f ca="1">IF(tbl_AMD[[#This Row],[RS]]= "", "", 100-(100/(1+tbl_AMD[[#This Row],[RS]])))</f>
        <v>37.812229207053029</v>
      </c>
      <c r="J56" s="10">
        <f ca="1">IF(ROW($N56)-4&lt;BB_Periods, "", AVERAGE(INDIRECT(ADDRESS(ROW($F56)-RSI_Periods +1, MATCH("Adj Close", Price_Header,0))): INDIRECT(ADDRESS(ROW($F56),MATCH("Adj Close", Price_Header,0)))))</f>
        <v>83.683571714285705</v>
      </c>
      <c r="K56" s="10">
        <f ca="1">IF(tbl_AMD[[#This Row],[BB_Mean]]="", "", tbl_AMD[[#This Row],[BB_Mean]]+(BB_Width*tbl_AMD[[#This Row],[BB_Stdev]]))</f>
        <v>87.93864480522619</v>
      </c>
      <c r="L56" s="10">
        <f ca="1">IF(tbl_AMD[[#This Row],[BB_Mean]]="", "", tbl_AMD[[#This Row],[BB_Mean]]-(BB_Width*tbl_AMD[[#This Row],[BB_Stdev]]))</f>
        <v>79.42849862334522</v>
      </c>
      <c r="M56" s="46">
        <f>IF(ROW(tbl_AMD[[#This Row],[Adj Close]])=5, 0, $F56-$F55)</f>
        <v>-2.3599999999999994</v>
      </c>
      <c r="N56" s="46">
        <f>MAX(tbl_AMD[[#This Row],[Move]],0)</f>
        <v>0</v>
      </c>
      <c r="O56" s="46">
        <f>MAX(-tbl_AMD[[#This Row],[Move]],0)</f>
        <v>2.3599999999999994</v>
      </c>
      <c r="P56" s="46">
        <f ca="1">IF(ROW($N56)-5&lt;RSI_Periods, "", AVERAGE(INDIRECT(ADDRESS(ROW($N56)-RSI_Periods +1, MATCH("Upmove", Price_Header,0))): INDIRECT(ADDRESS(ROW($N56),MATCH("Upmove", Price_Header,0)))))</f>
        <v>0.62714285714285822</v>
      </c>
      <c r="Q56" s="46">
        <f ca="1">IF(ROW($O56)-5&lt;RSI_Periods, "", AVERAGE(INDIRECT(ADDRESS(ROW($O56)-RSI_Periods +1, MATCH("Downmove", Price_Header,0))): INDIRECT(ADDRESS(ROW($O56),MATCH("Downmove", Price_Header,0)))))</f>
        <v>1.0314286428571435</v>
      </c>
      <c r="R56" s="46">
        <f ca="1">IF(tbl_AMD[[#This Row],[Avg_Upmove]]="", "", tbl_AMD[[#This Row],[Avg_Upmove]]/tbl_AMD[[#This Row],[Avg_Downmove]])</f>
        <v>0.60803319888966834</v>
      </c>
      <c r="S56" s="10">
        <f ca="1">IF(ROW($N56)-4&lt;BB_Periods, "", _xlfn.STDEV.S(INDIRECT(ADDRESS(ROW($F56)-RSI_Periods +1, MATCH("Adj Close", Price_Header,0))): INDIRECT(ADDRESS(ROW($F56),MATCH("Adj Close", Price_Header,0)))))</f>
        <v>2.127536545470242</v>
      </c>
    </row>
    <row r="57" spans="1:19" x14ac:dyDescent="0.35">
      <c r="A57" s="8">
        <v>44126</v>
      </c>
      <c r="B57" s="10">
        <v>79.650000000000006</v>
      </c>
      <c r="C57" s="10">
        <v>80.819999999999993</v>
      </c>
      <c r="D57" s="10">
        <v>78.42</v>
      </c>
      <c r="E57" s="10">
        <v>79.42</v>
      </c>
      <c r="F57" s="10">
        <v>79.42</v>
      </c>
      <c r="G57">
        <v>38006800</v>
      </c>
      <c r="H57" s="10">
        <f>IF(tbl_AMD[[#This Row],[Date]]=$A$5, $F57, EMA_Beta*$H56 + (1-EMA_Beta)*$F57)</f>
        <v>82.084780183946577</v>
      </c>
      <c r="I57" s="46">
        <f ca="1">IF(tbl_AMD[[#This Row],[RS]]= "", "", 100-(100/(1+tbl_AMD[[#This Row],[RS]])))</f>
        <v>44.160935599469745</v>
      </c>
      <c r="J57" s="10">
        <f ca="1">IF(ROW($N57)-4&lt;BB_Periods, "", AVERAGE(INDIRECT(ADDRESS(ROW($F57)-RSI_Periods +1, MATCH("Adj Close", Price_Header,0))): INDIRECT(ADDRESS(ROW($F57),MATCH("Adj Close", Price_Header,0)))))</f>
        <v>83.513571500000012</v>
      </c>
      <c r="K57" s="10">
        <f ca="1">IF(tbl_AMD[[#This Row],[BB_Mean]]="", "", tbl_AMD[[#This Row],[BB_Mean]]+(BB_Width*tbl_AMD[[#This Row],[BB_Stdev]]))</f>
        <v>88.255170205450426</v>
      </c>
      <c r="L57" s="10">
        <f ca="1">IF(tbl_AMD[[#This Row],[BB_Mean]]="", "", tbl_AMD[[#This Row],[BB_Mean]]-(BB_Width*tbl_AMD[[#This Row],[BB_Stdev]]))</f>
        <v>78.771972794549598</v>
      </c>
      <c r="M57" s="46">
        <f>IF(ROW(tbl_AMD[[#This Row],[Adj Close]])=5, 0, $F57-$F56)</f>
        <v>0.21999999999999886</v>
      </c>
      <c r="N57" s="46">
        <f>MAX(tbl_AMD[[#This Row],[Move]],0)</f>
        <v>0.21999999999999886</v>
      </c>
      <c r="O57" s="46">
        <f>MAX(-tbl_AMD[[#This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0.6428571428571439</v>
      </c>
      <c r="Q57" s="46">
        <f ca="1">IF(ROW($O57)-5&lt;RSI_Periods, "", AVERAGE(INDIRECT(ADDRESS(ROW($O57)-RSI_Periods +1, MATCH("Downmove", Price_Header,0))): INDIRECT(ADDRESS(ROW($O57),MATCH("Downmove", Price_Header,0)))))</f>
        <v>0.81285735714285834</v>
      </c>
      <c r="R57" s="46">
        <f ca="1">IF(tbl_AMD[[#This Row],[Avg_Upmove]]="", "", tbl_AMD[[#This Row],[Avg_Upmove]]/tbl_AMD[[#This Row],[Avg_Downmove]])</f>
        <v>0.79086095144263158</v>
      </c>
      <c r="S57" s="10">
        <f ca="1">IF(ROW($N57)-4&lt;BB_Periods, "", _xlfn.STDEV.S(INDIRECT(ADDRESS(ROW($F57)-RSI_Periods +1, MATCH("Adj Close", Price_Header,0))): INDIRECT(ADDRESS(ROW($F57),MATCH("Adj Close", Price_Header,0)))))</f>
        <v>2.3707993527252089</v>
      </c>
    </row>
    <row r="58" spans="1:19" x14ac:dyDescent="0.35">
      <c r="A58" s="8">
        <v>44127</v>
      </c>
      <c r="B58" s="10">
        <v>80.930000000000007</v>
      </c>
      <c r="C58" s="10">
        <v>81.99</v>
      </c>
      <c r="D58" s="10">
        <v>79.33</v>
      </c>
      <c r="E58" s="10">
        <v>81.96</v>
      </c>
      <c r="F58" s="10">
        <v>81.96</v>
      </c>
      <c r="G58">
        <v>46557700</v>
      </c>
      <c r="H58" s="10">
        <f>IF(tbl_AMD[[#This Row],[Date]]=$A$5, $F58, EMA_Beta*$H57 + (1-EMA_Beta)*$F58)</f>
        <v>82.072302165551918</v>
      </c>
      <c r="I58" s="46">
        <f ca="1">IF(tbl_AMD[[#This Row],[RS]]= "", "", 100-(100/(1+tbl_AMD[[#This Row],[RS]])))</f>
        <v>38.718359996045223</v>
      </c>
      <c r="J58" s="10">
        <f ca="1">IF(ROW($N58)-4&lt;BB_Periods, "", AVERAGE(INDIRECT(ADDRESS(ROW($F58)-RSI_Periods +1, MATCH("Adj Close", Price_Header,0))): INDIRECT(ADDRESS(ROW($F58),MATCH("Adj Close", Price_Header,0)))))</f>
        <v>83.214285642857149</v>
      </c>
      <c r="K58" s="10">
        <f ca="1">IF(tbl_AMD[[#This Row],[BB_Mean]]="", "", tbl_AMD[[#This Row],[BB_Mean]]+(BB_Width*tbl_AMD[[#This Row],[BB_Stdev]]))</f>
        <v>87.764104733284341</v>
      </c>
      <c r="L58" s="10">
        <f ca="1">IF(tbl_AMD[[#This Row],[BB_Mean]]="", "", tbl_AMD[[#This Row],[BB_Mean]]-(BB_Width*tbl_AMD[[#This Row],[BB_Stdev]]))</f>
        <v>78.664466552429957</v>
      </c>
      <c r="M58" s="46">
        <f>IF(ROW(tbl_AMD[[#This Row],[Adj Close]])=5, 0, $F58-$F57)</f>
        <v>2.539999999999992</v>
      </c>
      <c r="N58" s="46">
        <f>MAX(tbl_AMD[[#This Row],[Move]],0)</f>
        <v>2.539999999999992</v>
      </c>
      <c r="O58" s="46">
        <f>MAX(-tbl_AMD[[#This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0.51357150000000062</v>
      </c>
      <c r="Q58" s="46">
        <f ca="1">IF(ROW($O58)-5&lt;RSI_Periods, "", AVERAGE(INDIRECT(ADDRESS(ROW($O58)-RSI_Periods +1, MATCH("Downmove", Price_Header,0))): INDIRECT(ADDRESS(ROW($O58),MATCH("Downmove", Price_Header,0)))))</f>
        <v>0.81285735714285834</v>
      </c>
      <c r="R58" s="46">
        <f ca="1">IF(tbl_AMD[[#This Row],[Avg_Upmove]]="", "", tbl_AMD[[#This Row],[Avg_Upmove]]/tbl_AMD[[#This Row],[Avg_Downmove]])</f>
        <v>0.63181011463705217</v>
      </c>
      <c r="S58" s="10">
        <f ca="1">IF(ROW($N58)-4&lt;BB_Periods, "", _xlfn.STDEV.S(INDIRECT(ADDRESS(ROW($F58)-RSI_Periods +1, MATCH("Adj Close", Price_Header,0))): INDIRECT(ADDRESS(ROW($F58),MATCH("Adj Close", Price_Header,0)))))</f>
        <v>2.2749095452135988</v>
      </c>
    </row>
    <row r="59" spans="1:19" x14ac:dyDescent="0.35">
      <c r="A59" s="8">
        <v>44130</v>
      </c>
      <c r="B59" s="10">
        <v>82.55</v>
      </c>
      <c r="C59" s="10">
        <v>84.97</v>
      </c>
      <c r="D59" s="10">
        <v>80.86</v>
      </c>
      <c r="E59" s="10">
        <v>82.23</v>
      </c>
      <c r="F59" s="10">
        <v>82.23</v>
      </c>
      <c r="G59">
        <v>69423700</v>
      </c>
      <c r="H59" s="10">
        <f>IF(tbl_AMD[[#This Row],[Date]]=$A$5, $F59, EMA_Beta*$H58 + (1-EMA_Beta)*$F59)</f>
        <v>82.088071948996728</v>
      </c>
      <c r="I59" s="46">
        <f ca="1">IF(tbl_AMD[[#This Row],[RS]]= "", "", 100-(100/(1+tbl_AMD[[#This Row],[RS]])))</f>
        <v>43.447867371034583</v>
      </c>
      <c r="J59" s="10">
        <f ca="1">IF(ROW($N59)-4&lt;BB_Periods, "", AVERAGE(INDIRECT(ADDRESS(ROW($F59)-RSI_Periods +1, MATCH("Adj Close", Price_Header,0))): INDIRECT(ADDRESS(ROW($F59),MATCH("Adj Close", Price_Header,0)))))</f>
        <v>83.053571142857137</v>
      </c>
      <c r="K59" s="10">
        <f ca="1">IF(tbl_AMD[[#This Row],[BB_Mean]]="", "", tbl_AMD[[#This Row],[BB_Mean]]+(BB_Width*tbl_AMD[[#This Row],[BB_Stdev]]))</f>
        <v>87.569626071908161</v>
      </c>
      <c r="L59" s="10">
        <f ca="1">IF(tbl_AMD[[#This Row],[BB_Mean]]="", "", tbl_AMD[[#This Row],[BB_Mean]]-(BB_Width*tbl_AMD[[#This Row],[BB_Stdev]]))</f>
        <v>78.537516213806114</v>
      </c>
      <c r="M59" s="46">
        <f>IF(ROW(tbl_AMD[[#This Row],[Adj Close]])=5, 0, $F59-$F58)</f>
        <v>0.27000000000001023</v>
      </c>
      <c r="N59" s="46">
        <f>MAX(tbl_AMD[[#This Row],[Move]],0)</f>
        <v>0.27000000000001023</v>
      </c>
      <c r="O59" s="46">
        <f>MAX(-tbl_AMD[[#This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0.53285721428571564</v>
      </c>
      <c r="Q59" s="46">
        <f ca="1">IF(ROW($O59)-5&lt;RSI_Periods, "", AVERAGE(INDIRECT(ADDRESS(ROW($O59)-RSI_Periods +1, MATCH("Downmove", Price_Header,0))): INDIRECT(ADDRESS(ROW($O59),MATCH("Downmove", Price_Header,0)))))</f>
        <v>0.69357171428571518</v>
      </c>
      <c r="R59" s="46">
        <f ca="1">IF(tbl_AMD[[#This Row],[Avg_Upmove]]="", "", tbl_AMD[[#This Row],[Avg_Upmove]]/tbl_AMD[[#This Row],[Avg_Downmove]])</f>
        <v>0.76827991008036756</v>
      </c>
      <c r="S59" s="10">
        <f ca="1">IF(ROW($N59)-4&lt;BB_Periods, "", _xlfn.STDEV.S(INDIRECT(ADDRESS(ROW($F59)-RSI_Periods +1, MATCH("Adj Close", Price_Header,0))): INDIRECT(ADDRESS(ROW($F59),MATCH("Adj Close", Price_Header,0)))))</f>
        <v>2.2580274645255134</v>
      </c>
    </row>
    <row r="60" spans="1:19" x14ac:dyDescent="0.35">
      <c r="A60" s="8">
        <v>44131</v>
      </c>
      <c r="B60" s="10">
        <v>82</v>
      </c>
      <c r="C60" s="10">
        <v>82.37</v>
      </c>
      <c r="D60" s="10">
        <v>77.569999999999993</v>
      </c>
      <c r="E60" s="10">
        <v>78.88</v>
      </c>
      <c r="F60" s="10">
        <v>78.88</v>
      </c>
      <c r="G60">
        <v>156669500</v>
      </c>
      <c r="H60" s="10">
        <f>IF(tbl_AMD[[#This Row],[Date]]=$A$5, $F60, EMA_Beta*$H59 + (1-EMA_Beta)*$F60)</f>
        <v>81.767264754097056</v>
      </c>
      <c r="I60" s="46">
        <f ca="1">IF(tbl_AMD[[#This Row],[RS]]= "", "", 100-(100/(1+tbl_AMD[[#This Row],[RS]])))</f>
        <v>28.67285788983358</v>
      </c>
      <c r="J60" s="10">
        <f ca="1">IF(ROW($N60)-4&lt;BB_Periods, "", AVERAGE(INDIRECT(ADDRESS(ROW($F60)-RSI_Periods +1, MATCH("Adj Close", Price_Header,0))): INDIRECT(ADDRESS(ROW($F60),MATCH("Adj Close", Price_Header,0)))))</f>
        <v>82.495713857142846</v>
      </c>
      <c r="K60" s="10">
        <f ca="1">IF(tbl_AMD[[#This Row],[BB_Mean]]="", "", tbl_AMD[[#This Row],[BB_Mean]]+(BB_Width*tbl_AMD[[#This Row],[BB_Stdev]]))</f>
        <v>87.006253466196483</v>
      </c>
      <c r="L60" s="10">
        <f ca="1">IF(tbl_AMD[[#This Row],[BB_Mean]]="", "", tbl_AMD[[#This Row],[BB_Mean]]-(BB_Width*tbl_AMD[[#This Row],[BB_Stdev]]))</f>
        <v>77.985174248089209</v>
      </c>
      <c r="M60" s="46">
        <f>IF(ROW(tbl_AMD[[#This Row],[Adj Close]])=5, 0, $F60-$F59)</f>
        <v>-3.3500000000000085</v>
      </c>
      <c r="N60" s="46">
        <f>MAX(tbl_AMD[[#This Row],[Move]],0)</f>
        <v>0</v>
      </c>
      <c r="O60" s="46">
        <f>MAX(-tbl_AMD[[#This Row],[Move]],0)</f>
        <v>3.3500000000000085</v>
      </c>
      <c r="P60" s="46">
        <f ca="1">IF(ROW($N60)-5&lt;RSI_Periods, "", AVERAGE(INDIRECT(ADDRESS(ROW($N60)-RSI_Periods +1, MATCH("Upmove", Price_Header,0))): INDIRECT(ADDRESS(ROW($N60),MATCH("Upmove", Price_Header,0)))))</f>
        <v>0.3750001428571435</v>
      </c>
      <c r="Q60" s="46">
        <f ca="1">IF(ROW($O60)-5&lt;RSI_Periods, "", AVERAGE(INDIRECT(ADDRESS(ROW($O60)-RSI_Periods +1, MATCH("Downmove", Price_Header,0))): INDIRECT(ADDRESS(ROW($O60),MATCH("Downmove", Price_Header,0)))))</f>
        <v>0.93285742857143006</v>
      </c>
      <c r="R60" s="46">
        <f ca="1">IF(tbl_AMD[[#This Row],[Avg_Upmove]]="", "", tbl_AMD[[#This Row],[Avg_Upmove]]/tbl_AMD[[#This Row],[Avg_Downmove]])</f>
        <v>0.40199084165671012</v>
      </c>
      <c r="S60" s="10">
        <f ca="1">IF(ROW($N60)-4&lt;BB_Periods, "", _xlfn.STDEV.S(INDIRECT(ADDRESS(ROW($F60)-RSI_Periods +1, MATCH("Adj Close", Price_Header,0))): INDIRECT(ADDRESS(ROW($F60),MATCH("Adj Close", Price_Header,0)))))</f>
        <v>2.2552698045268205</v>
      </c>
    </row>
    <row r="61" spans="1:19" x14ac:dyDescent="0.35">
      <c r="A61" s="8">
        <v>44132</v>
      </c>
      <c r="B61" s="10">
        <v>78.73</v>
      </c>
      <c r="C61" s="10">
        <v>78.959999999999994</v>
      </c>
      <c r="D61" s="10">
        <v>75.760000000000005</v>
      </c>
      <c r="E61" s="10">
        <v>76.400000000000006</v>
      </c>
      <c r="F61" s="10">
        <v>76.400000000000006</v>
      </c>
      <c r="G61">
        <v>76529900</v>
      </c>
      <c r="H61" s="10">
        <f>IF(tbl_AMD[[#This Row],[Date]]=$A$5, $F61, EMA_Beta*$H60 + (1-EMA_Beta)*$F61)</f>
        <v>81.230538278687348</v>
      </c>
      <c r="I61" s="46">
        <f ca="1">IF(tbl_AMD[[#This Row],[RS]]= "", "", 100-(100/(1+tbl_AMD[[#This Row],[RS]])))</f>
        <v>25.473073612884946</v>
      </c>
      <c r="J61" s="10">
        <f ca="1">IF(ROW($N61)-4&lt;BB_Periods, "", AVERAGE(INDIRECT(ADDRESS(ROW($F61)-RSI_Periods +1, MATCH("Adj Close", Price_Header,0))): INDIRECT(ADDRESS(ROW($F61),MATCH("Adj Close", Price_Header,0)))))</f>
        <v>81.773570857142872</v>
      </c>
      <c r="K61" s="10">
        <f ca="1">IF(tbl_AMD[[#This Row],[BB_Mean]]="", "", tbl_AMD[[#This Row],[BB_Mean]]+(BB_Width*tbl_AMD[[#This Row],[BB_Stdev]]))</f>
        <v>86.730725610107513</v>
      </c>
      <c r="L61" s="10">
        <f ca="1">IF(tbl_AMD[[#This Row],[BB_Mean]]="", "", tbl_AMD[[#This Row],[BB_Mean]]-(BB_Width*tbl_AMD[[#This Row],[BB_Stdev]]))</f>
        <v>76.816416104178231</v>
      </c>
      <c r="M61" s="46">
        <f>IF(ROW(tbl_AMD[[#This Row],[Adj Close]])=5, 0, $F61-$F60)</f>
        <v>-2.4799999999999898</v>
      </c>
      <c r="N61" s="46">
        <f>MAX(tbl_AMD[[#This Row],[Move]],0)</f>
        <v>0</v>
      </c>
      <c r="O61" s="46">
        <f>MAX(-tbl_AMD[[#This Row],[Move]],0)</f>
        <v>2.4799999999999898</v>
      </c>
      <c r="P61" s="46">
        <f ca="1">IF(ROW($N61)-5&lt;RSI_Periods, "", AVERAGE(INDIRECT(ADDRESS(ROW($N61)-RSI_Periods +1, MATCH("Upmove", Price_Header,0))): INDIRECT(ADDRESS(ROW($N61),MATCH("Upmove", Price_Header,0)))))</f>
        <v>0.3750001428571435</v>
      </c>
      <c r="Q61" s="46">
        <f ca="1">IF(ROW($O61)-5&lt;RSI_Periods, "", AVERAGE(INDIRECT(ADDRESS(ROW($O61)-RSI_Periods +1, MATCH("Downmove", Price_Header,0))): INDIRECT(ADDRESS(ROW($O61),MATCH("Downmove", Price_Header,0)))))</f>
        <v>1.0971431428571432</v>
      </c>
      <c r="R61" s="46">
        <f ca="1">IF(tbl_AMD[[#This Row],[Avg_Upmove]]="", "", tbl_AMD[[#This Row],[Avg_Upmove]]/tbl_AMD[[#This Row],[Avg_Downmove]])</f>
        <v>0.34179691619872021</v>
      </c>
      <c r="S61" s="10">
        <f ca="1">IF(ROW($N61)-4&lt;BB_Periods, "", _xlfn.STDEV.S(INDIRECT(ADDRESS(ROW($F61)-RSI_Periods +1, MATCH("Adj Close", Price_Header,0))): INDIRECT(ADDRESS(ROW($F61),MATCH("Adj Close", Price_Header,0)))))</f>
        <v>2.4785773764823196</v>
      </c>
    </row>
    <row r="62" spans="1:19" x14ac:dyDescent="0.35">
      <c r="A62" s="8">
        <v>44133</v>
      </c>
      <c r="B62" s="10">
        <v>76.75</v>
      </c>
      <c r="C62" s="10">
        <v>79.180000000000007</v>
      </c>
      <c r="D62" s="10">
        <v>76.290000000000006</v>
      </c>
      <c r="E62" s="10">
        <v>78.02</v>
      </c>
      <c r="F62" s="10">
        <v>78.02</v>
      </c>
      <c r="G62">
        <v>52874100</v>
      </c>
      <c r="H62" s="10">
        <f>IF(tbl_AMD[[#This Row],[Date]]=$A$5, $F62, EMA_Beta*$H61 + (1-EMA_Beta)*$F62)</f>
        <v>80.90948445081861</v>
      </c>
      <c r="I62" s="46">
        <f ca="1">IF(tbl_AMD[[#This Row],[RS]]= "", "", 100-(100/(1+tbl_AMD[[#This Row],[RS]])))</f>
        <v>36.503726195140672</v>
      </c>
      <c r="J62" s="10">
        <f ca="1">IF(ROW($N62)-4&lt;BB_Periods, "", AVERAGE(INDIRECT(ADDRESS(ROW($F62)-RSI_Periods +1, MATCH("Adj Close", Price_Header,0))): INDIRECT(ADDRESS(ROW($F62),MATCH("Adj Close", Price_Header,0)))))</f>
        <v>81.410713857142852</v>
      </c>
      <c r="K62" s="10">
        <f ca="1">IF(tbl_AMD[[#This Row],[BB_Mean]]="", "", tbl_AMD[[#This Row],[BB_Mean]]+(BB_Width*tbl_AMD[[#This Row],[BB_Stdev]]))</f>
        <v>86.683286369704817</v>
      </c>
      <c r="L62" s="10">
        <f ca="1">IF(tbl_AMD[[#This Row],[BB_Mean]]="", "", tbl_AMD[[#This Row],[BB_Mean]]-(BB_Width*tbl_AMD[[#This Row],[BB_Stdev]]))</f>
        <v>76.138141344580887</v>
      </c>
      <c r="M62" s="46">
        <f>IF(ROW(tbl_AMD[[#This Row],[Adj Close]])=5, 0, $F62-$F61)</f>
        <v>1.6199999999999903</v>
      </c>
      <c r="N62" s="46">
        <f>MAX(tbl_AMD[[#This Row],[Move]],0)</f>
        <v>1.6199999999999903</v>
      </c>
      <c r="O62" s="46">
        <f>MAX(-tbl_AMD[[#This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0.49071442857142855</v>
      </c>
      <c r="Q62" s="46">
        <f ca="1">IF(ROW($O62)-5&lt;RSI_Periods, "", AVERAGE(INDIRECT(ADDRESS(ROW($O62)-RSI_Periods +1, MATCH("Downmove", Price_Header,0))): INDIRECT(ADDRESS(ROW($O62),MATCH("Downmove", Price_Header,0)))))</f>
        <v>0.85357142857142876</v>
      </c>
      <c r="R62" s="46">
        <f ca="1">IF(tbl_AMD[[#This Row],[Avg_Upmove]]="", "", tbl_AMD[[#This Row],[Avg_Upmove]]/tbl_AMD[[#This Row],[Avg_Downmove]])</f>
        <v>0.57489556485355631</v>
      </c>
      <c r="S62" s="10">
        <f ca="1">IF(ROW($N62)-4&lt;BB_Periods, "", _xlfn.STDEV.S(INDIRECT(ADDRESS(ROW($F62)-RSI_Periods +1, MATCH("Adj Close", Price_Header,0))): INDIRECT(ADDRESS(ROW($F62),MATCH("Adj Close", Price_Header,0)))))</f>
        <v>2.6362862562809792</v>
      </c>
    </row>
    <row r="63" spans="1:19" x14ac:dyDescent="0.35">
      <c r="A63" s="8">
        <v>44134</v>
      </c>
      <c r="B63" s="10">
        <v>77.09</v>
      </c>
      <c r="C63" s="10">
        <v>77.7</v>
      </c>
      <c r="D63" s="10">
        <v>74.23</v>
      </c>
      <c r="E63" s="10">
        <v>75.290000000000006</v>
      </c>
      <c r="F63" s="10">
        <v>75.290000000000006</v>
      </c>
      <c r="G63">
        <v>51349000</v>
      </c>
      <c r="H63" s="10">
        <f>IF(tbl_AMD[[#This Row],[Date]]=$A$5, $F63, EMA_Beta*$H62 + (1-EMA_Beta)*$F63)</f>
        <v>80.347536005736742</v>
      </c>
      <c r="I63" s="46">
        <f ca="1">IF(tbl_AMD[[#This Row],[RS]]= "", "", 100-(100/(1+tbl_AMD[[#This Row],[RS]])))</f>
        <v>27.897835358439849</v>
      </c>
      <c r="J63" s="10">
        <f ca="1">IF(ROW($N63)-4&lt;BB_Periods, "", AVERAGE(INDIRECT(ADDRESS(ROW($F63)-RSI_Periods +1, MATCH("Adj Close", Price_Header,0))): INDIRECT(ADDRESS(ROW($F63),MATCH("Adj Close", Price_Header,0)))))</f>
        <v>80.767856642857154</v>
      </c>
      <c r="K63" s="10">
        <f ca="1">IF(tbl_AMD[[#This Row],[BB_Mean]]="", "", tbl_AMD[[#This Row],[BB_Mean]]+(BB_Width*tbl_AMD[[#This Row],[BB_Stdev]]))</f>
        <v>86.683603452446661</v>
      </c>
      <c r="L63" s="10">
        <f ca="1">IF(tbl_AMD[[#This Row],[BB_Mean]]="", "", tbl_AMD[[#This Row],[BB_Mean]]-(BB_Width*tbl_AMD[[#This Row],[BB_Stdev]]))</f>
        <v>74.852109833267647</v>
      </c>
      <c r="M63" s="46">
        <f>IF(ROW(tbl_AMD[[#This Row],[Adj Close]])=5, 0, $F63-$F62)</f>
        <v>-2.7299999999999898</v>
      </c>
      <c r="N63" s="46">
        <f>MAX(tbl_AMD[[#This Row],[Move]],0)</f>
        <v>0</v>
      </c>
      <c r="O63" s="46">
        <f>MAX(-tbl_AMD[[#This Row],[Move]],0)</f>
        <v>2.7299999999999898</v>
      </c>
      <c r="P63" s="46">
        <f ca="1">IF(ROW($N63)-5&lt;RSI_Periods, "", AVERAGE(INDIRECT(ADDRESS(ROW($N63)-RSI_Periods +1, MATCH("Upmove", Price_Header,0))): INDIRECT(ADDRESS(ROW($N63),MATCH("Upmove", Price_Header,0)))))</f>
        <v>0.40571421428571391</v>
      </c>
      <c r="Q63" s="46">
        <f ca="1">IF(ROW($O63)-5&lt;RSI_Periods, "", AVERAGE(INDIRECT(ADDRESS(ROW($O63)-RSI_Periods +1, MATCH("Downmove", Price_Header,0))): INDIRECT(ADDRESS(ROW($O63),MATCH("Downmove", Price_Header,0)))))</f>
        <v>1.048571428571428</v>
      </c>
      <c r="R63" s="46">
        <f ca="1">IF(tbl_AMD[[#This Row],[Avg_Upmove]]="", "", tbl_AMD[[#This Row],[Avg_Upmove]]/tbl_AMD[[#This Row],[Avg_Downmove]])</f>
        <v>0.38692091280653934</v>
      </c>
      <c r="S63" s="10">
        <f ca="1">IF(ROW($N63)-4&lt;BB_Periods, "", _xlfn.STDEV.S(INDIRECT(ADDRESS(ROW($F63)-RSI_Periods +1, MATCH("Adj Close", Price_Header,0))): INDIRECT(ADDRESS(ROW($F63),MATCH("Adj Close", Price_Header,0)))))</f>
        <v>2.9578734047947504</v>
      </c>
    </row>
    <row r="64" spans="1:19" x14ac:dyDescent="0.35">
      <c r="A64" s="8">
        <v>44137</v>
      </c>
      <c r="B64" s="10">
        <v>75.849999999999994</v>
      </c>
      <c r="C64" s="10">
        <v>76.34</v>
      </c>
      <c r="D64" s="10">
        <v>73.760000000000005</v>
      </c>
      <c r="E64" s="10">
        <v>74.7</v>
      </c>
      <c r="F64" s="10">
        <v>74.7</v>
      </c>
      <c r="G64">
        <v>45760700</v>
      </c>
      <c r="H64" s="10">
        <f>IF(tbl_AMD[[#This Row],[Date]]=$A$5, $F64, EMA_Beta*$H63 + (1-EMA_Beta)*$F64)</f>
        <v>79.782782405163076</v>
      </c>
      <c r="I64" s="46">
        <f ca="1">IF(tbl_AMD[[#This Row],[RS]]= "", "", 100-(100/(1+tbl_AMD[[#This Row],[RS]])))</f>
        <v>23.496997820791677</v>
      </c>
      <c r="J64" s="10">
        <f ca="1">IF(ROW($N64)-4&lt;BB_Periods, "", AVERAGE(INDIRECT(ADDRESS(ROW($F64)-RSI_Periods +1, MATCH("Adj Close", Price_Header,0))): INDIRECT(ADDRESS(ROW($F64),MATCH("Adj Close", Price_Header,0)))))</f>
        <v>80.012142428571437</v>
      </c>
      <c r="K64" s="10">
        <f ca="1">IF(tbl_AMD[[#This Row],[BB_Mean]]="", "", tbl_AMD[[#This Row],[BB_Mean]]+(BB_Width*tbl_AMD[[#This Row],[BB_Stdev]]))</f>
        <v>86.144056321790231</v>
      </c>
      <c r="L64" s="10">
        <f ca="1">IF(tbl_AMD[[#This Row],[BB_Mean]]="", "", tbl_AMD[[#This Row],[BB_Mean]]-(BB_Width*tbl_AMD[[#This Row],[BB_Stdev]]))</f>
        <v>73.880228535352643</v>
      </c>
      <c r="M64" s="46">
        <f>IF(ROW(tbl_AMD[[#This Row],[Adj Close]])=5, 0, $F64-$F63)</f>
        <v>-0.59000000000000341</v>
      </c>
      <c r="N64" s="46">
        <f>MAX(tbl_AMD[[#This Row],[Move]],0)</f>
        <v>0</v>
      </c>
      <c r="O64" s="46">
        <f>MAX(-tbl_AMD[[#This Row],[Move]],0)</f>
        <v>0.59000000000000341</v>
      </c>
      <c r="P64" s="46">
        <f ca="1">IF(ROW($N64)-5&lt;RSI_Periods, "", AVERAGE(INDIRECT(ADDRESS(ROW($N64)-RSI_Periods +1, MATCH("Upmove", Price_Header,0))): INDIRECT(ADDRESS(ROW($N64),MATCH("Upmove", Price_Header,0)))))</f>
        <v>0.33500007142857108</v>
      </c>
      <c r="Q64" s="46">
        <f ca="1">IF(ROW($O64)-5&lt;RSI_Periods, "", AVERAGE(INDIRECT(ADDRESS(ROW($O64)-RSI_Periods +1, MATCH("Downmove", Price_Header,0))): INDIRECT(ADDRESS(ROW($O64),MATCH("Downmove", Price_Header,0)))))</f>
        <v>1.0907142857142855</v>
      </c>
      <c r="R64" s="46">
        <f ca="1">IF(tbl_AMD[[#This Row],[Avg_Upmove]]="", "", tbl_AMD[[#This Row],[Avg_Upmove]]/tbl_AMD[[#This Row],[Avg_Downmove]])</f>
        <v>0.30713824492468866</v>
      </c>
      <c r="S64" s="10">
        <f ca="1">IF(ROW($N64)-4&lt;BB_Periods, "", _xlfn.STDEV.S(INDIRECT(ADDRESS(ROW($F64)-RSI_Periods +1, MATCH("Adj Close", Price_Header,0))): INDIRECT(ADDRESS(ROW($F64),MATCH("Adj Close", Price_Header,0)))))</f>
        <v>3.0659569466093961</v>
      </c>
    </row>
    <row r="65" spans="1:19" x14ac:dyDescent="0.35">
      <c r="A65" s="8">
        <v>44138</v>
      </c>
      <c r="B65" s="10">
        <v>74.930000000000007</v>
      </c>
      <c r="C65" s="10">
        <v>77.08</v>
      </c>
      <c r="D65" s="10">
        <v>74.599999999999994</v>
      </c>
      <c r="E65" s="10">
        <v>76.58</v>
      </c>
      <c r="F65" s="10">
        <v>76.58</v>
      </c>
      <c r="G65">
        <v>41231800</v>
      </c>
      <c r="H65" s="10">
        <f>IF(tbl_AMD[[#This Row],[Date]]=$A$5, $F65, EMA_Beta*$H64 + (1-EMA_Beta)*$F65)</f>
        <v>79.462504164646774</v>
      </c>
      <c r="I65" s="46">
        <f ca="1">IF(tbl_AMD[[#This Row],[RS]]= "", "", 100-(100/(1+tbl_AMD[[#This Row],[RS]])))</f>
        <v>31.632165063448952</v>
      </c>
      <c r="J65" s="10">
        <f ca="1">IF(ROW($N65)-4&lt;BB_Periods, "", AVERAGE(INDIRECT(ADDRESS(ROW($F65)-RSI_Periods +1, MATCH("Adj Close", Price_Header,0))): INDIRECT(ADDRESS(ROW($F65),MATCH("Adj Close", Price_Header,0)))))</f>
        <v>79.467142499999994</v>
      </c>
      <c r="K65" s="10">
        <f ca="1">IF(tbl_AMD[[#This Row],[BB_Mean]]="", "", tbl_AMD[[#This Row],[BB_Mean]]+(BB_Width*tbl_AMD[[#This Row],[BB_Stdev]]))</f>
        <v>85.342788426540267</v>
      </c>
      <c r="L65" s="10">
        <f ca="1">IF(tbl_AMD[[#This Row],[BB_Mean]]="", "", tbl_AMD[[#This Row],[BB_Mean]]-(BB_Width*tbl_AMD[[#This Row],[BB_Stdev]]))</f>
        <v>73.591496573459722</v>
      </c>
      <c r="M65" s="46">
        <f>IF(ROW(tbl_AMD[[#This Row],[Adj Close]])=5, 0, $F65-$F64)</f>
        <v>1.8799999999999955</v>
      </c>
      <c r="N65" s="46">
        <f>MAX(tbl_AMD[[#This Row],[Move]],0)</f>
        <v>1.8799999999999955</v>
      </c>
      <c r="O65" s="46">
        <f>MAX(-tbl_AMD[[#This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0.46928578571428503</v>
      </c>
      <c r="Q65" s="46">
        <f ca="1">IF(ROW($O65)-5&lt;RSI_Periods, "", AVERAGE(INDIRECT(ADDRESS(ROW($O65)-RSI_Periods +1, MATCH("Downmove", Price_Header,0))): INDIRECT(ADDRESS(ROW($O65),MATCH("Downmove", Price_Header,0)))))</f>
        <v>1.0142857142857136</v>
      </c>
      <c r="R65" s="46">
        <f ca="1">IF(tbl_AMD[[#This Row],[Avg_Upmove]]="", "", tbl_AMD[[#This Row],[Avg_Upmove]]/tbl_AMD[[#This Row],[Avg_Downmove]])</f>
        <v>0.46267612676056302</v>
      </c>
      <c r="S65" s="10">
        <f ca="1">IF(ROW($N65)-4&lt;BB_Periods, "", _xlfn.STDEV.S(INDIRECT(ADDRESS(ROW($F65)-RSI_Periods +1, MATCH("Adj Close", Price_Header,0))): INDIRECT(ADDRESS(ROW($F65),MATCH("Adj Close", Price_Header,0)))))</f>
        <v>2.9378229632701398</v>
      </c>
    </row>
    <row r="66" spans="1:19" x14ac:dyDescent="0.35">
      <c r="A66" s="8">
        <v>44139</v>
      </c>
      <c r="B66" s="10">
        <v>80.25</v>
      </c>
      <c r="C66" s="10">
        <v>81.849999999999994</v>
      </c>
      <c r="D66" s="10">
        <v>78.97</v>
      </c>
      <c r="E66" s="10">
        <v>81.349999999999994</v>
      </c>
      <c r="F66" s="10">
        <v>81.349999999999994</v>
      </c>
      <c r="G66">
        <v>66579700</v>
      </c>
      <c r="H66" s="10">
        <f>IF(tbl_AMD[[#This Row],[Date]]=$A$5, $F66, EMA_Beta*$H65 + (1-EMA_Beta)*$F66)</f>
        <v>79.651253748182086</v>
      </c>
      <c r="I66" s="46">
        <f ca="1">IF(tbl_AMD[[#This Row],[RS]]= "", "", 100-(100/(1+tbl_AMD[[#This Row],[RS]])))</f>
        <v>46.361412361464104</v>
      </c>
      <c r="J66" s="10">
        <f ca="1">IF(ROW($N66)-4&lt;BB_Periods, "", AVERAGE(INDIRECT(ADDRESS(ROW($F66)-RSI_Periods +1, MATCH("Adj Close", Price_Header,0))): INDIRECT(ADDRESS(ROW($F66),MATCH("Adj Close", Price_Header,0)))))</f>
        <v>79.339999857142843</v>
      </c>
      <c r="K66" s="10">
        <f ca="1">IF(tbl_AMD[[#This Row],[BB_Mean]]="", "", tbl_AMD[[#This Row],[BB_Mean]]+(BB_Width*tbl_AMD[[#This Row],[BB_Stdev]]))</f>
        <v>84.945019164870615</v>
      </c>
      <c r="L66" s="10">
        <f ca="1">IF(tbl_AMD[[#This Row],[BB_Mean]]="", "", tbl_AMD[[#This Row],[BB_Mean]]-(BB_Width*tbl_AMD[[#This Row],[BB_Stdev]]))</f>
        <v>73.73498054941507</v>
      </c>
      <c r="M66" s="46">
        <f>IF(ROW(tbl_AMD[[#This Row],[Adj Close]])=5, 0, $F66-$F65)</f>
        <v>4.769999999999996</v>
      </c>
      <c r="N66" s="46">
        <f>MAX(tbl_AMD[[#This Row],[Move]],0)</f>
        <v>4.769999999999996</v>
      </c>
      <c r="O66" s="46">
        <f>MAX(-tbl_AMD[[#This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0.81000007142857045</v>
      </c>
      <c r="Q66" s="46">
        <f ca="1">IF(ROW($O66)-5&lt;RSI_Periods, "", AVERAGE(INDIRECT(ADDRESS(ROW($O66)-RSI_Periods +1, MATCH("Downmove", Price_Header,0))): INDIRECT(ADDRESS(ROW($O66),MATCH("Downmove", Price_Header,0)))))</f>
        <v>0.93714271428571394</v>
      </c>
      <c r="R66" s="46">
        <f ca="1">IF(tbl_AMD[[#This Row],[Avg_Upmove]]="", "", tbl_AMD[[#This Row],[Avg_Upmove]]/tbl_AMD[[#This Row],[Avg_Downmove]])</f>
        <v>0.86432947626973655</v>
      </c>
      <c r="S66" s="10">
        <f ca="1">IF(ROW($N66)-4&lt;BB_Periods, "", _xlfn.STDEV.S(INDIRECT(ADDRESS(ROW($F66)-RSI_Periods +1, MATCH("Adj Close", Price_Header,0))): INDIRECT(ADDRESS(ROW($F66),MATCH("Adj Close", Price_Header,0)))))</f>
        <v>2.8025096538638863</v>
      </c>
    </row>
    <row r="67" spans="1:19" x14ac:dyDescent="0.35">
      <c r="A67" s="8">
        <v>44140</v>
      </c>
      <c r="B67" s="10">
        <v>83.27</v>
      </c>
      <c r="C67" s="10">
        <v>83.5</v>
      </c>
      <c r="D67" s="10">
        <v>81.849999999999994</v>
      </c>
      <c r="E67" s="10">
        <v>83</v>
      </c>
      <c r="F67" s="10">
        <v>83</v>
      </c>
      <c r="G67">
        <v>46542300</v>
      </c>
      <c r="H67" s="10">
        <f>IF(tbl_AMD[[#This Row],[Date]]=$A$5, $F67, EMA_Beta*$H66 + (1-EMA_Beta)*$F67)</f>
        <v>79.986128373363883</v>
      </c>
      <c r="I67" s="46">
        <f ca="1">IF(tbl_AMD[[#This Row],[RS]]= "", "", 100-(100/(1+tbl_AMD[[#This Row],[RS]])))</f>
        <v>49.673958548059716</v>
      </c>
      <c r="J67" s="10">
        <f ca="1">IF(ROW($N67)-4&lt;BB_Periods, "", AVERAGE(INDIRECT(ADDRESS(ROW($F67)-RSI_Periods +1, MATCH("Adj Close", Price_Header,0))): INDIRECT(ADDRESS(ROW($F67),MATCH("Adj Close", Price_Header,0)))))</f>
        <v>79.327857142857141</v>
      </c>
      <c r="K67" s="10">
        <f ca="1">IF(tbl_AMD[[#This Row],[BB_Mean]]="", "", tbl_AMD[[#This Row],[BB_Mean]]+(BB_Width*tbl_AMD[[#This Row],[BB_Stdev]]))</f>
        <v>84.897760766226796</v>
      </c>
      <c r="L67" s="10">
        <f ca="1">IF(tbl_AMD[[#This Row],[BB_Mean]]="", "", tbl_AMD[[#This Row],[BB_Mean]]-(BB_Width*tbl_AMD[[#This Row],[BB_Stdev]]))</f>
        <v>73.757953519487486</v>
      </c>
      <c r="M67" s="46">
        <f>IF(ROW(tbl_AMD[[#This Row],[Adj Close]])=5, 0, $F67-$F66)</f>
        <v>1.6500000000000057</v>
      </c>
      <c r="N67" s="46">
        <f>MAX(tbl_AMD[[#This Row],[Move]],0)</f>
        <v>1.6500000000000057</v>
      </c>
      <c r="O67" s="46">
        <f>MAX(-tbl_AMD[[#This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0.92499999999999916</v>
      </c>
      <c r="Q67" s="46">
        <f ca="1">IF(ROW($O67)-5&lt;RSI_Periods, "", AVERAGE(INDIRECT(ADDRESS(ROW($O67)-RSI_Periods +1, MATCH("Downmove", Price_Header,0))): INDIRECT(ADDRESS(ROW($O67),MATCH("Downmove", Price_Header,0)))))</f>
        <v>0.93714271428571394</v>
      </c>
      <c r="R67" s="46">
        <f ca="1">IF(tbl_AMD[[#This Row],[Avg_Upmove]]="", "", tbl_AMD[[#This Row],[Avg_Upmove]]/tbl_AMD[[#This Row],[Avg_Downmove]])</f>
        <v>0.98704283339067533</v>
      </c>
      <c r="S67" s="10">
        <f ca="1">IF(ROW($N67)-4&lt;BB_Periods, "", _xlfn.STDEV.S(INDIRECT(ADDRESS(ROW($F67)-RSI_Periods +1, MATCH("Adj Close", Price_Header,0))): INDIRECT(ADDRESS(ROW($F67),MATCH("Adj Close", Price_Header,0)))))</f>
        <v>2.7849518116848242</v>
      </c>
    </row>
    <row r="68" spans="1:19" x14ac:dyDescent="0.35">
      <c r="A68" s="8">
        <v>44141</v>
      </c>
      <c r="B68" s="10">
        <v>83.52</v>
      </c>
      <c r="C68" s="10">
        <v>86.09</v>
      </c>
      <c r="D68" s="10">
        <v>82.67</v>
      </c>
      <c r="E68" s="10">
        <v>85.88</v>
      </c>
      <c r="F68" s="10">
        <v>85.88</v>
      </c>
      <c r="G68">
        <v>53829900</v>
      </c>
      <c r="H68" s="10">
        <f>IF(tbl_AMD[[#This Row],[Date]]=$A$5, $F68, EMA_Beta*$H67 + (1-EMA_Beta)*$F68)</f>
        <v>80.575515536027496</v>
      </c>
      <c r="I68" s="46">
        <f ca="1">IF(tbl_AMD[[#This Row],[RS]]= "", "", 100-(100/(1+tbl_AMD[[#This Row],[RS]])))</f>
        <v>56.983441324694027</v>
      </c>
      <c r="J68" s="10">
        <f ca="1">IF(ROW($N68)-4&lt;BB_Periods, "", AVERAGE(INDIRECT(ADDRESS(ROW($F68)-RSI_Periods +1, MATCH("Adj Close", Price_Header,0))): INDIRECT(ADDRESS(ROW($F68),MATCH("Adj Close", Price_Header,0)))))</f>
        <v>79.605000000000018</v>
      </c>
      <c r="K68" s="10">
        <f ca="1">IF(tbl_AMD[[#This Row],[BB_Mean]]="", "", tbl_AMD[[#This Row],[BB_Mean]]+(BB_Width*tbl_AMD[[#This Row],[BB_Stdev]]))</f>
        <v>86.062967053302344</v>
      </c>
      <c r="L68" s="10">
        <f ca="1">IF(tbl_AMD[[#This Row],[BB_Mean]]="", "", tbl_AMD[[#This Row],[BB_Mean]]-(BB_Width*tbl_AMD[[#This Row],[BB_Stdev]]))</f>
        <v>73.147032946697692</v>
      </c>
      <c r="M68" s="46">
        <f>IF(ROW(tbl_AMD[[#This Row],[Adj Close]])=5, 0, $F68-$F67)</f>
        <v>2.8799999999999955</v>
      </c>
      <c r="N68" s="46">
        <f>MAX(tbl_AMD[[#This Row],[Move]],0)</f>
        <v>2.8799999999999955</v>
      </c>
      <c r="O68" s="46">
        <f>MAX(-tbl_AMD[[#This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1.1307142857142847</v>
      </c>
      <c r="Q68" s="46">
        <f ca="1">IF(ROW($O68)-5&lt;RSI_Periods, "", AVERAGE(INDIRECT(ADDRESS(ROW($O68)-RSI_Periods +1, MATCH("Downmove", Price_Header,0))): INDIRECT(ADDRESS(ROW($O68),MATCH("Downmove", Price_Header,0)))))</f>
        <v>0.85357142857142776</v>
      </c>
      <c r="R68" s="46">
        <f ca="1">IF(tbl_AMD[[#This Row],[Avg_Upmove]]="", "", tbl_AMD[[#This Row],[Avg_Upmove]]/tbl_AMD[[#This Row],[Avg_Downmove]])</f>
        <v>1.3246861924686193</v>
      </c>
      <c r="S68" s="10">
        <f ca="1">IF(ROW($N68)-4&lt;BB_Periods, "", _xlfn.STDEV.S(INDIRECT(ADDRESS(ROW($F68)-RSI_Periods +1, MATCH("Adj Close", Price_Header,0))): INDIRECT(ADDRESS(ROW($F68),MATCH("Adj Close", Price_Header,0)))))</f>
        <v>3.2289835266511662</v>
      </c>
    </row>
    <row r="69" spans="1:19" x14ac:dyDescent="0.35">
      <c r="A69" s="8">
        <v>44144</v>
      </c>
      <c r="B69" s="10">
        <v>84.24</v>
      </c>
      <c r="C69" s="10">
        <v>87.05</v>
      </c>
      <c r="D69" s="10">
        <v>82.77</v>
      </c>
      <c r="E69" s="10">
        <v>83.12</v>
      </c>
      <c r="F69" s="10">
        <v>83.12</v>
      </c>
      <c r="G69">
        <v>58580700</v>
      </c>
      <c r="H69" s="10">
        <f>IF(tbl_AMD[[#This Row],[Date]]=$A$5, $F69, EMA_Beta*$H68 + (1-EMA_Beta)*$F69)</f>
        <v>80.829963982424744</v>
      </c>
      <c r="I69" s="46">
        <f ca="1">IF(tbl_AMD[[#This Row],[RS]]= "", "", 100-(100/(1+tbl_AMD[[#This Row],[RS]])))</f>
        <v>52.591362126245862</v>
      </c>
      <c r="J69" s="10">
        <f ca="1">IF(ROW($N69)-4&lt;BB_Periods, "", AVERAGE(INDIRECT(ADDRESS(ROW($F69)-RSI_Periods +1, MATCH("Adj Close", Price_Header,0))): INDIRECT(ADDRESS(ROW($F69),MATCH("Adj Close", Price_Header,0)))))</f>
        <v>79.71642857142858</v>
      </c>
      <c r="K69" s="10">
        <f ca="1">IF(tbl_AMD[[#This Row],[BB_Mean]]="", "", tbl_AMD[[#This Row],[BB_Mean]]+(BB_Width*tbl_AMD[[#This Row],[BB_Stdev]]))</f>
        <v>86.370559074150378</v>
      </c>
      <c r="L69" s="10">
        <f ca="1">IF(tbl_AMD[[#This Row],[BB_Mean]]="", "", tbl_AMD[[#This Row],[BB_Mean]]-(BB_Width*tbl_AMD[[#This Row],[BB_Stdev]]))</f>
        <v>73.062298068706781</v>
      </c>
      <c r="M69" s="46">
        <f>IF(ROW(tbl_AMD[[#This Row],[Adj Close]])=5, 0, $F69-$F68)</f>
        <v>-2.7599999999999909</v>
      </c>
      <c r="N69" s="46">
        <f>MAX(tbl_AMD[[#This Row],[Move]],0)</f>
        <v>0</v>
      </c>
      <c r="O69" s="46">
        <f>MAX(-tbl_AMD[[#This Row],[Move]],0)</f>
        <v>2.7599999999999909</v>
      </c>
      <c r="P69" s="46">
        <f ca="1">IF(ROW($N69)-5&lt;RSI_Periods, "", AVERAGE(INDIRECT(ADDRESS(ROW($N69)-RSI_Periods +1, MATCH("Upmove", Price_Header,0))): INDIRECT(ADDRESS(ROW($N69),MATCH("Upmove", Price_Header,0)))))</f>
        <v>1.1307142857142847</v>
      </c>
      <c r="Q69" s="46">
        <f ca="1">IF(ROW($O69)-5&lt;RSI_Periods, "", AVERAGE(INDIRECT(ADDRESS(ROW($O69)-RSI_Periods +1, MATCH("Downmove", Price_Header,0))): INDIRECT(ADDRESS(ROW($O69),MATCH("Downmove", Price_Header,0)))))</f>
        <v>1.019285714285713</v>
      </c>
      <c r="R69" s="46">
        <f ca="1">IF(tbl_AMD[[#This Row],[Avg_Upmove]]="", "", tbl_AMD[[#This Row],[Avg_Upmove]]/tbl_AMD[[#This Row],[Avg_Downmove]])</f>
        <v>1.1093202522775056</v>
      </c>
      <c r="S69" s="10">
        <f ca="1">IF(ROW($N69)-4&lt;BB_Periods, "", _xlfn.STDEV.S(INDIRECT(ADDRESS(ROW($F69)-RSI_Periods +1, MATCH("Adj Close", Price_Header,0))): INDIRECT(ADDRESS(ROW($F69),MATCH("Adj Close", Price_Header,0)))))</f>
        <v>3.3270652513609011</v>
      </c>
    </row>
    <row r="70" spans="1:19" x14ac:dyDescent="0.35">
      <c r="A70" s="8">
        <v>44145</v>
      </c>
      <c r="B70" s="10">
        <v>81.93</v>
      </c>
      <c r="C70" s="10">
        <v>82.13</v>
      </c>
      <c r="D70" s="10">
        <v>77.63</v>
      </c>
      <c r="E70" s="10">
        <v>77.989999999999995</v>
      </c>
      <c r="F70" s="10">
        <v>77.989999999999995</v>
      </c>
      <c r="G70">
        <v>67137200</v>
      </c>
      <c r="H70" s="10">
        <f>IF(tbl_AMD[[#This Row],[Date]]=$A$5, $F70, EMA_Beta*$H69 + (1-EMA_Beta)*$F70)</f>
        <v>80.545967584182264</v>
      </c>
      <c r="I70" s="46">
        <f ca="1">IF(tbl_AMD[[#This Row],[RS]]= "", "", 100-(100/(1+tbl_AMD[[#This Row],[RS]])))</f>
        <v>48.159415880742309</v>
      </c>
      <c r="J70" s="10">
        <f ca="1">IF(ROW($N70)-4&lt;BB_Periods, "", AVERAGE(INDIRECT(ADDRESS(ROW($F70)-RSI_Periods +1, MATCH("Adj Close", Price_Header,0))): INDIRECT(ADDRESS(ROW($F70),MATCH("Adj Close", Price_Header,0)))))</f>
        <v>79.63</v>
      </c>
      <c r="K70" s="10">
        <f ca="1">IF(tbl_AMD[[#This Row],[BB_Mean]]="", "", tbl_AMD[[#This Row],[BB_Mean]]+(BB_Width*tbl_AMD[[#This Row],[BB_Stdev]]))</f>
        <v>86.344187046270577</v>
      </c>
      <c r="L70" s="10">
        <f ca="1">IF(tbl_AMD[[#This Row],[BB_Mean]]="", "", tbl_AMD[[#This Row],[BB_Mean]]-(BB_Width*tbl_AMD[[#This Row],[BB_Stdev]]))</f>
        <v>72.915812953729414</v>
      </c>
      <c r="M70" s="46">
        <f>IF(ROW(tbl_AMD[[#This Row],[Adj Close]])=5, 0, $F70-$F69)</f>
        <v>-5.1300000000000097</v>
      </c>
      <c r="N70" s="46">
        <f>MAX(tbl_AMD[[#This Row],[Move]],0)</f>
        <v>0</v>
      </c>
      <c r="O70" s="46">
        <f>MAX(-tbl_AMD[[#This Row],[Move]],0)</f>
        <v>5.1300000000000097</v>
      </c>
      <c r="P70" s="46">
        <f ca="1">IF(ROW($N70)-5&lt;RSI_Periods, "", AVERAGE(INDIRECT(ADDRESS(ROW($N70)-RSI_Periods +1, MATCH("Upmove", Price_Header,0))): INDIRECT(ADDRESS(ROW($N70),MATCH("Upmove", Price_Header,0)))))</f>
        <v>1.1307142857142847</v>
      </c>
      <c r="Q70" s="46">
        <f ca="1">IF(ROW($O70)-5&lt;RSI_Periods, "", AVERAGE(INDIRECT(ADDRESS(ROW($O70)-RSI_Periods +1, MATCH("Downmove", Price_Header,0))): INDIRECT(ADDRESS(ROW($O70),MATCH("Downmove", Price_Header,0)))))</f>
        <v>1.2171428571428566</v>
      </c>
      <c r="R70" s="46">
        <f ca="1">IF(tbl_AMD[[#This Row],[Avg_Upmove]]="", "", tbl_AMD[[#This Row],[Avg_Upmove]]/tbl_AMD[[#This Row],[Avg_Downmove]])</f>
        <v>0.92899061032863806</v>
      </c>
      <c r="S70" s="10">
        <f ca="1">IF(ROW($N70)-4&lt;BB_Periods, "", _xlfn.STDEV.S(INDIRECT(ADDRESS(ROW($F70)-RSI_Periods +1, MATCH("Adj Close", Price_Header,0))): INDIRECT(ADDRESS(ROW($F70),MATCH("Adj Close", Price_Header,0)))))</f>
        <v>3.3570935231352901</v>
      </c>
    </row>
    <row r="71" spans="1:19" x14ac:dyDescent="0.35">
      <c r="A71" s="8">
        <v>44146</v>
      </c>
      <c r="B71" s="10">
        <v>79.39</v>
      </c>
      <c r="C71" s="10">
        <v>81.47</v>
      </c>
      <c r="D71" s="10">
        <v>78.97</v>
      </c>
      <c r="E71" s="10">
        <v>81.28</v>
      </c>
      <c r="F71" s="10">
        <v>81.28</v>
      </c>
      <c r="G71">
        <v>44611300</v>
      </c>
      <c r="H71" s="10">
        <f>IF(tbl_AMD[[#This Row],[Date]]=$A$5, $F71, EMA_Beta*$H70 + (1-EMA_Beta)*$F71)</f>
        <v>80.619370825764037</v>
      </c>
      <c r="I71" s="46">
        <f ca="1">IF(tbl_AMD[[#This Row],[RS]]= "", "", 100-(100/(1+tbl_AMD[[#This Row],[RS]])))</f>
        <v>52.587646076794663</v>
      </c>
      <c r="J71" s="10">
        <f ca="1">IF(ROW($N71)-4&lt;BB_Periods, "", AVERAGE(INDIRECT(ADDRESS(ROW($F71)-RSI_Periods +1, MATCH("Adj Close", Price_Header,0))): INDIRECT(ADDRESS(ROW($F71),MATCH("Adj Close", Price_Header,0)))))</f>
        <v>79.762857142857143</v>
      </c>
      <c r="K71" s="10">
        <f ca="1">IF(tbl_AMD[[#This Row],[BB_Mean]]="", "", tbl_AMD[[#This Row],[BB_Mean]]+(BB_Width*tbl_AMD[[#This Row],[BB_Stdev]]))</f>
        <v>86.532524461447892</v>
      </c>
      <c r="L71" s="10">
        <f ca="1">IF(tbl_AMD[[#This Row],[BB_Mean]]="", "", tbl_AMD[[#This Row],[BB_Mean]]-(BB_Width*tbl_AMD[[#This Row],[BB_Stdev]]))</f>
        <v>72.993189824266395</v>
      </c>
      <c r="M71" s="46">
        <f>IF(ROW(tbl_AMD[[#This Row],[Adj Close]])=5, 0, $F71-$F70)</f>
        <v>3.2900000000000063</v>
      </c>
      <c r="N71" s="46">
        <f>MAX(tbl_AMD[[#This Row],[Move]],0)</f>
        <v>3.2900000000000063</v>
      </c>
      <c r="O71" s="46">
        <f>MAX(-tbl_AMD[[#This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1.3499999999999994</v>
      </c>
      <c r="Q71" s="46">
        <f ca="1">IF(ROW($O71)-5&lt;RSI_Periods, "", AVERAGE(INDIRECT(ADDRESS(ROW($O71)-RSI_Periods +1, MATCH("Downmove", Price_Header,0))): INDIRECT(ADDRESS(ROW($O71),MATCH("Downmove", Price_Header,0)))))</f>
        <v>1.2171428571428566</v>
      </c>
      <c r="R71" s="46">
        <f ca="1">IF(tbl_AMD[[#This Row],[Avg_Upmove]]="", "", tbl_AMD[[#This Row],[Avg_Upmove]]/tbl_AMD[[#This Row],[Avg_Downmove]])</f>
        <v>1.1091549295774648</v>
      </c>
      <c r="S71" s="10">
        <f ca="1">IF(ROW($N71)-4&lt;BB_Periods, "", _xlfn.STDEV.S(INDIRECT(ADDRESS(ROW($F71)-RSI_Periods +1, MATCH("Adj Close", Price_Header,0))): INDIRECT(ADDRESS(ROW($F71),MATCH("Adj Close", Price_Header,0)))))</f>
        <v>3.3848336592953712</v>
      </c>
    </row>
    <row r="72" spans="1:19" x14ac:dyDescent="0.35">
      <c r="A72" s="8">
        <v>44147</v>
      </c>
      <c r="B72" s="10">
        <v>81.319999999999993</v>
      </c>
      <c r="C72" s="10">
        <v>83</v>
      </c>
      <c r="D72" s="10">
        <v>80.3</v>
      </c>
      <c r="E72" s="10">
        <v>81.84</v>
      </c>
      <c r="F72" s="10">
        <v>81.84</v>
      </c>
      <c r="G72">
        <v>37242600</v>
      </c>
      <c r="H72" s="10">
        <f>IF(tbl_AMD[[#This Row],[Date]]=$A$5, $F72, EMA_Beta*$H71 + (1-EMA_Beta)*$F72)</f>
        <v>80.741433743187628</v>
      </c>
      <c r="I72" s="46">
        <f ca="1">IF(tbl_AMD[[#This Row],[RS]]= "", "", 100-(100/(1+tbl_AMD[[#This Row],[RS]])))</f>
        <v>49.823321554770331</v>
      </c>
      <c r="J72" s="10">
        <f ca="1">IF(ROW($N72)-4&lt;BB_Periods, "", AVERAGE(INDIRECT(ADDRESS(ROW($F72)-RSI_Periods +1, MATCH("Adj Close", Price_Header,0))): INDIRECT(ADDRESS(ROW($F72),MATCH("Adj Close", Price_Header,0)))))</f>
        <v>79.754285714285714</v>
      </c>
      <c r="K72" s="10">
        <f ca="1">IF(tbl_AMD[[#This Row],[BB_Mean]]="", "", tbl_AMD[[#This Row],[BB_Mean]]+(BB_Width*tbl_AMD[[#This Row],[BB_Stdev]]))</f>
        <v>86.512263173604396</v>
      </c>
      <c r="L72" s="10">
        <f ca="1">IF(tbl_AMD[[#This Row],[BB_Mean]]="", "", tbl_AMD[[#This Row],[BB_Mean]]-(BB_Width*tbl_AMD[[#This Row],[BB_Stdev]]))</f>
        <v>72.996308254967033</v>
      </c>
      <c r="M72" s="46">
        <f>IF(ROW(tbl_AMD[[#This Row],[Adj Close]])=5, 0, $F72-$F71)</f>
        <v>0.56000000000000227</v>
      </c>
      <c r="N72" s="46">
        <f>MAX(tbl_AMD[[#This Row],[Move]],0)</f>
        <v>0.56000000000000227</v>
      </c>
      <c r="O72" s="46">
        <f>MAX(-tbl_AMD[[#This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1.2085714285714286</v>
      </c>
      <c r="Q72" s="46">
        <f ca="1">IF(ROW($O72)-5&lt;RSI_Periods, "", AVERAGE(INDIRECT(ADDRESS(ROW($O72)-RSI_Periods +1, MATCH("Downmove", Price_Header,0))): INDIRECT(ADDRESS(ROW($O72),MATCH("Downmove", Price_Header,0)))))</f>
        <v>1.2171428571428566</v>
      </c>
      <c r="R72" s="46">
        <f ca="1">IF(tbl_AMD[[#This Row],[Avg_Upmove]]="", "", tbl_AMD[[#This Row],[Avg_Upmove]]/tbl_AMD[[#This Row],[Avg_Downmove]])</f>
        <v>0.99295774647887369</v>
      </c>
      <c r="S72" s="10">
        <f ca="1">IF(ROW($N72)-4&lt;BB_Periods, "", _xlfn.STDEV.S(INDIRECT(ADDRESS(ROW($F72)-RSI_Periods +1, MATCH("Adj Close", Price_Header,0))): INDIRECT(ADDRESS(ROW($F72),MATCH("Adj Close", Price_Header,0)))))</f>
        <v>3.3789887296593379</v>
      </c>
    </row>
    <row r="73" spans="1:19" x14ac:dyDescent="0.35">
      <c r="A73" s="8">
        <v>44148</v>
      </c>
      <c r="B73" s="10">
        <v>82.73</v>
      </c>
      <c r="C73" s="10">
        <v>83.11</v>
      </c>
      <c r="D73" s="10">
        <v>81.760000000000005</v>
      </c>
      <c r="E73" s="10">
        <v>82.3</v>
      </c>
      <c r="F73" s="10">
        <v>82.3</v>
      </c>
      <c r="G73">
        <v>9025031</v>
      </c>
      <c r="H73" s="10">
        <f>IF(tbl_AMD[[#This Row],[Date]]=$A$5, $F73, EMA_Beta*$H72 + (1-EMA_Beta)*$F73)</f>
        <v>80.897290368868866</v>
      </c>
      <c r="I73" s="46">
        <f ca="1">IF(tbl_AMD[[#This Row],[RS]]= "", "", 100-(100/(1+tbl_AMD[[#This Row],[RS]])))</f>
        <v>50.102489019033669</v>
      </c>
      <c r="J73" s="10">
        <f ca="1">IF(ROW($N73)-4&lt;BB_Periods, "", AVERAGE(INDIRECT(ADDRESS(ROW($F73)-RSI_Periods +1, MATCH("Adj Close", Price_Header,0))): INDIRECT(ADDRESS(ROW($F73),MATCH("Adj Close", Price_Header,0)))))</f>
        <v>79.75928571428571</v>
      </c>
      <c r="K73" s="10">
        <f ca="1">IF(tbl_AMD[[#This Row],[BB_Mean]]="", "", tbl_AMD[[#This Row],[BB_Mean]]+(BB_Width*tbl_AMD[[#This Row],[BB_Stdev]]))</f>
        <v>86.525252422340472</v>
      </c>
      <c r="L73" s="10">
        <f ca="1">IF(tbl_AMD[[#This Row],[BB_Mean]]="", "", tbl_AMD[[#This Row],[BB_Mean]]-(BB_Width*tbl_AMD[[#This Row],[BB_Stdev]]))</f>
        <v>72.993319006230948</v>
      </c>
      <c r="M73" s="46">
        <f>IF(ROW(tbl_AMD[[#This Row],[Adj Close]])=5, 0, $F73-$F72)</f>
        <v>0.45999999999999375</v>
      </c>
      <c r="N73" s="46">
        <f>MAX(tbl_AMD[[#This Row],[Move]],0)</f>
        <v>0.45999999999999375</v>
      </c>
      <c r="O73" s="46">
        <f>MAX(-tbl_AMD[[#This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1.2221428571428561</v>
      </c>
      <c r="Q73" s="46">
        <f ca="1">IF(ROW($O73)-5&lt;RSI_Periods, "", AVERAGE(INDIRECT(ADDRESS(ROW($O73)-RSI_Periods +1, MATCH("Downmove", Price_Header,0))): INDIRECT(ADDRESS(ROW($O73),MATCH("Downmove", Price_Header,0)))))</f>
        <v>1.2171428571428566</v>
      </c>
      <c r="R73" s="46">
        <f ca="1">IF(tbl_AMD[[#This Row],[Avg_Upmove]]="", "", tbl_AMD[[#This Row],[Avg_Upmove]]/tbl_AMD[[#This Row],[Avg_Downmove]])</f>
        <v>1.0041079812206568</v>
      </c>
      <c r="S73" s="10">
        <f ca="1">IF(ROW($N73)-4&lt;BB_Periods, "", _xlfn.STDEV.S(INDIRECT(ADDRESS(ROW($F73)-RSI_Periods +1, MATCH("Adj Close", Price_Header,0))): INDIRECT(ADDRESS(ROW($F73),MATCH("Adj Close", Price_Header,0)))))</f>
        <v>3.3829833540273837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SUBTOTAL(103,tbl_AMD[BB_Stdev])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74"/>
  <sheetViews>
    <sheetView topLeftCell="A62" workbookViewId="0">
      <selection activeCell="A73" sqref="A73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320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87.940002000000007</v>
      </c>
      <c r="C5" s="10">
        <v>89.760002</v>
      </c>
      <c r="D5" s="10">
        <v>87.599997999999999</v>
      </c>
      <c r="E5" s="10">
        <v>89.730002999999996</v>
      </c>
      <c r="F5" s="10">
        <v>88.454780999999997</v>
      </c>
      <c r="G5">
        <v>8150200</v>
      </c>
      <c r="H5" s="10">
        <f>IF(tbl_CVX[[#This Row],[Date]]=$A$5, $F5, EMA_Beta*$H4 + (1-EMA_Beta)*$F5)</f>
        <v>88.454780999999997</v>
      </c>
      <c r="I5" s="46" t="str">
        <f ca="1">IF(tbl_CVX[[#This Row],[RS]]= "", "", 100-(100/(1+tbl_CVX[[#This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IF(tbl_CVX[[#This Row],[BB_Mean]]="", "", tbl_CVX[[#This Row],[BB_Mean]]+(BB_Width*tbl_CVX[[#This Row],[BB_Stdev]]))</f>
        <v/>
      </c>
      <c r="L5" s="10" t="str">
        <f ca="1">IF(tbl_CVX[[#This Row],[BB_Mean]]="", "", tbl_CVX[[#This Row],[BB_Mean]]-(BB_Width*tbl_CVX[[#This Row],[BB_Stdev]]))</f>
        <v/>
      </c>
      <c r="M5" s="46">
        <f>IF(ROW(tbl_CVX[[#This Row],[Adj Close]])=5, 0, $F5-$F4)</f>
        <v>0</v>
      </c>
      <c r="N5" s="46">
        <f>MAX(tbl_CVX[[#This Row],[Move]],0)</f>
        <v>0</v>
      </c>
      <c r="O5" s="46">
        <f>MAX(-tbl_CVX[[#This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IF(tbl_CVX[[#This Row],[Avg_Upmove]]="", "", tbl_CVX[[#This Row],[Avg_Upmove]]/tbl_CVX[[#This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91.949996999999996</v>
      </c>
      <c r="C6" s="10">
        <v>93.010002</v>
      </c>
      <c r="D6" s="10">
        <v>89.169998000000007</v>
      </c>
      <c r="E6" s="10">
        <v>89.620002999999997</v>
      </c>
      <c r="F6" s="10">
        <v>88.346344000000002</v>
      </c>
      <c r="G6">
        <v>9074300</v>
      </c>
      <c r="H6" s="10">
        <f>IF(tbl_CVX[[#This Row],[Date]]=$A$5, $F6, EMA_Beta*$H5 + (1-EMA_Beta)*$F6)</f>
        <v>88.443937300000002</v>
      </c>
      <c r="I6" s="46" t="str">
        <f ca="1">IF(tbl_CVX[[#This Row],[RS]]= "", "", 100-(100/(1+tbl_CVX[[#This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IF(tbl_CVX[[#This Row],[BB_Mean]]="", "", tbl_CVX[[#This Row],[BB_Mean]]+(BB_Width*tbl_CVX[[#This Row],[BB_Stdev]]))</f>
        <v/>
      </c>
      <c r="L6" s="10" t="str">
        <f ca="1">IF(tbl_CVX[[#This Row],[BB_Mean]]="", "", tbl_CVX[[#This Row],[BB_Mean]]-(BB_Width*tbl_CVX[[#This Row],[BB_Stdev]]))</f>
        <v/>
      </c>
      <c r="M6" s="46">
        <f>IF(ROW(tbl_CVX[[#This Row],[Adj Close]])=5, 0, $F6-$F5)</f>
        <v>-0.10843699999999501</v>
      </c>
      <c r="N6" s="46">
        <f>MAX(tbl_CVX[[#This Row],[Move]],0)</f>
        <v>0</v>
      </c>
      <c r="O6" s="46">
        <f>MAX(-tbl_CVX[[#This Row],[Move]],0)</f>
        <v>0.10843699999999501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IF(tbl_CVX[[#This Row],[Avg_Upmove]]="", "", tbl_CVX[[#This Row],[Avg_Upmove]]/tbl_CVX[[#This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90.800003000000004</v>
      </c>
      <c r="C7" s="10">
        <v>91.660004000000001</v>
      </c>
      <c r="D7" s="10">
        <v>89.449996999999996</v>
      </c>
      <c r="E7" s="10">
        <v>90.720000999999996</v>
      </c>
      <c r="F7" s="10">
        <v>89.430710000000005</v>
      </c>
      <c r="G7">
        <v>9058000</v>
      </c>
      <c r="H7" s="10">
        <f>IF(tbl_CVX[[#This Row],[Date]]=$A$5, $F7, EMA_Beta*$H6 + (1-EMA_Beta)*$F7)</f>
        <v>88.542614570000012</v>
      </c>
      <c r="I7" s="46" t="str">
        <f ca="1">IF(tbl_CVX[[#This Row],[RS]]= "", "", 100-(100/(1+tbl_CVX[[#This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IF(tbl_CVX[[#This Row],[BB_Mean]]="", "", tbl_CVX[[#This Row],[BB_Mean]]+(BB_Width*tbl_CVX[[#This Row],[BB_Stdev]]))</f>
        <v/>
      </c>
      <c r="L7" s="10" t="str">
        <f ca="1">IF(tbl_CVX[[#This Row],[BB_Mean]]="", "", tbl_CVX[[#This Row],[BB_Mean]]-(BB_Width*tbl_CVX[[#This Row],[BB_Stdev]]))</f>
        <v/>
      </c>
      <c r="M7" s="46">
        <f>IF(ROW(tbl_CVX[[#This Row],[Adj Close]])=5, 0, $F7-$F6)</f>
        <v>1.0843660000000028</v>
      </c>
      <c r="N7" s="46">
        <f>MAX(tbl_CVX[[#This Row],[Move]],0)</f>
        <v>1.0843660000000028</v>
      </c>
      <c r="O7" s="46">
        <f>MAX(-tbl_CVX[[#This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IF(tbl_CVX[[#This Row],[Avg_Upmove]]="", "", tbl_CVX[[#This Row],[Avg_Upmove]]/tbl_CVX[[#This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89.870002999999997</v>
      </c>
      <c r="C8" s="10">
        <v>91.279999000000004</v>
      </c>
      <c r="D8" s="10">
        <v>89.760002</v>
      </c>
      <c r="E8" s="10">
        <v>89.82</v>
      </c>
      <c r="F8" s="10">
        <v>88.543494999999993</v>
      </c>
      <c r="G8">
        <v>7314600</v>
      </c>
      <c r="H8" s="10">
        <f>IF(tbl_CVX[[#This Row],[Date]]=$A$5, $F8, EMA_Beta*$H7 + (1-EMA_Beta)*$F8)</f>
        <v>88.542702613000017</v>
      </c>
      <c r="I8" s="46" t="str">
        <f ca="1">IF(tbl_CVX[[#This Row],[RS]]= "", "", 100-(100/(1+tbl_CVX[[#This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IF(tbl_CVX[[#This Row],[BB_Mean]]="", "", tbl_CVX[[#This Row],[BB_Mean]]+(BB_Width*tbl_CVX[[#This Row],[BB_Stdev]]))</f>
        <v/>
      </c>
      <c r="L8" s="10" t="str">
        <f ca="1">IF(tbl_CVX[[#This Row],[BB_Mean]]="", "", tbl_CVX[[#This Row],[BB_Mean]]-(BB_Width*tbl_CVX[[#This Row],[BB_Stdev]]))</f>
        <v/>
      </c>
      <c r="M8" s="46">
        <f>IF(ROW(tbl_CVX[[#This Row],[Adj Close]])=5, 0, $F8-$F7)</f>
        <v>-0.88721500000001186</v>
      </c>
      <c r="N8" s="46">
        <f>MAX(tbl_CVX[[#This Row],[Move]],0)</f>
        <v>0</v>
      </c>
      <c r="O8" s="46">
        <f>MAX(-tbl_CVX[[#This Row],[Move]],0)</f>
        <v>0.88721500000001186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IF(tbl_CVX[[#This Row],[Avg_Upmove]]="", "", tbl_CVX[[#This Row],[Avg_Upmove]]/tbl_CVX[[#This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89</v>
      </c>
      <c r="C9" s="10">
        <v>90.589995999999999</v>
      </c>
      <c r="D9" s="10">
        <v>88.849997999999999</v>
      </c>
      <c r="E9" s="10">
        <v>90.349997999999999</v>
      </c>
      <c r="F9" s="10">
        <v>89.065963999999994</v>
      </c>
      <c r="G9">
        <v>6343000</v>
      </c>
      <c r="H9" s="10">
        <f>IF(tbl_CVX[[#This Row],[Date]]=$A$5, $F9, EMA_Beta*$H8 + (1-EMA_Beta)*$F9)</f>
        <v>88.595028751700013</v>
      </c>
      <c r="I9" s="46" t="str">
        <f ca="1">IF(tbl_CVX[[#This Row],[RS]]= "", "", 100-(100/(1+tbl_CVX[[#This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IF(tbl_CVX[[#This Row],[BB_Mean]]="", "", tbl_CVX[[#This Row],[BB_Mean]]+(BB_Width*tbl_CVX[[#This Row],[BB_Stdev]]))</f>
        <v/>
      </c>
      <c r="L9" s="10" t="str">
        <f ca="1">IF(tbl_CVX[[#This Row],[BB_Mean]]="", "", tbl_CVX[[#This Row],[BB_Mean]]-(BB_Width*tbl_CVX[[#This Row],[BB_Stdev]]))</f>
        <v/>
      </c>
      <c r="M9" s="46">
        <f>IF(ROW(tbl_CVX[[#This Row],[Adj Close]])=5, 0, $F9-$F8)</f>
        <v>0.52246900000000096</v>
      </c>
      <c r="N9" s="46">
        <f>MAX(tbl_CVX[[#This Row],[Move]],0)</f>
        <v>0.52246900000000096</v>
      </c>
      <c r="O9" s="46">
        <f>MAX(-tbl_CVX[[#This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IF(tbl_CVX[[#This Row],[Avg_Upmove]]="", "", tbl_CVX[[#This Row],[Avg_Upmove]]/tbl_CVX[[#This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90.349997999999999</v>
      </c>
      <c r="C10" s="10">
        <v>91.580001999999993</v>
      </c>
      <c r="D10" s="10">
        <v>89.720000999999996</v>
      </c>
      <c r="E10" s="10">
        <v>90.769997000000004</v>
      </c>
      <c r="F10" s="10">
        <v>89.479996</v>
      </c>
      <c r="G10">
        <v>10473800</v>
      </c>
      <c r="H10" s="10">
        <f>IF(tbl_CVX[[#This Row],[Date]]=$A$5, $F10, EMA_Beta*$H9 + (1-EMA_Beta)*$F10)</f>
        <v>88.683525476530022</v>
      </c>
      <c r="I10" s="46" t="str">
        <f ca="1">IF(tbl_CVX[[#This Row],[RS]]= "", "", 100-(100/(1+tbl_CVX[[#This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IF(tbl_CVX[[#This Row],[BB_Mean]]="", "", tbl_CVX[[#This Row],[BB_Mean]]+(BB_Width*tbl_CVX[[#This Row],[BB_Stdev]]))</f>
        <v/>
      </c>
      <c r="L10" s="10" t="str">
        <f ca="1">IF(tbl_CVX[[#This Row],[BB_Mean]]="", "", tbl_CVX[[#This Row],[BB_Mean]]-(BB_Width*tbl_CVX[[#This Row],[BB_Stdev]]))</f>
        <v/>
      </c>
      <c r="M10" s="46">
        <f>IF(ROW(tbl_CVX[[#This Row],[Adj Close]])=5, 0, $F10-$F9)</f>
        <v>0.41403200000000595</v>
      </c>
      <c r="N10" s="46">
        <f>MAX(tbl_CVX[[#This Row],[Move]],0)</f>
        <v>0.41403200000000595</v>
      </c>
      <c r="O10" s="46">
        <f>MAX(-tbl_CVX[[#This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IF(tbl_CVX[[#This Row],[Avg_Upmove]]="", "", tbl_CVX[[#This Row],[Avg_Upmove]]/tbl_CVX[[#This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88.970000999999996</v>
      </c>
      <c r="C11" s="10">
        <v>89.370002999999997</v>
      </c>
      <c r="D11" s="10">
        <v>87.32</v>
      </c>
      <c r="E11" s="10">
        <v>87.629997000000003</v>
      </c>
      <c r="F11" s="10">
        <v>87.629997000000003</v>
      </c>
      <c r="G11">
        <v>7981500</v>
      </c>
      <c r="H11" s="10">
        <f>IF(tbl_CVX[[#This Row],[Date]]=$A$5, $F11, EMA_Beta*$H10 + (1-EMA_Beta)*$F11)</f>
        <v>88.578172628877013</v>
      </c>
      <c r="I11" s="46" t="str">
        <f ca="1">IF(tbl_CVX[[#This Row],[RS]]= "", "", 100-(100/(1+tbl_CVX[[#This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IF(tbl_CVX[[#This Row],[BB_Mean]]="", "", tbl_CVX[[#This Row],[BB_Mean]]+(BB_Width*tbl_CVX[[#This Row],[BB_Stdev]]))</f>
        <v/>
      </c>
      <c r="L11" s="10" t="str">
        <f ca="1">IF(tbl_CVX[[#This Row],[BB_Mean]]="", "", tbl_CVX[[#This Row],[BB_Mean]]-(BB_Width*tbl_CVX[[#This Row],[BB_Stdev]]))</f>
        <v/>
      </c>
      <c r="M11" s="46">
        <f>IF(ROW(tbl_CVX[[#This Row],[Adj Close]])=5, 0, $F11-$F10)</f>
        <v>-1.8499989999999968</v>
      </c>
      <c r="N11" s="46">
        <f>MAX(tbl_CVX[[#This Row],[Move]],0)</f>
        <v>0</v>
      </c>
      <c r="O11" s="46">
        <f>MAX(-tbl_CVX[[#This Row],[Move]],0)</f>
        <v>1.8499989999999968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IF(tbl_CVX[[#This Row],[Avg_Upmove]]="", "", tbl_CVX[[#This Row],[Avg_Upmove]]/tbl_CVX[[#This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87.300003000000004</v>
      </c>
      <c r="C12" s="10">
        <v>87.900002000000001</v>
      </c>
      <c r="D12" s="10">
        <v>86.199996999999996</v>
      </c>
      <c r="E12" s="10">
        <v>86.389999000000003</v>
      </c>
      <c r="F12" s="10">
        <v>86.389999000000003</v>
      </c>
      <c r="G12">
        <v>9120300</v>
      </c>
      <c r="H12" s="10">
        <f>IF(tbl_CVX[[#This Row],[Date]]=$A$5, $F12, EMA_Beta*$H11 + (1-EMA_Beta)*$F12)</f>
        <v>88.359355265989322</v>
      </c>
      <c r="I12" s="46" t="str">
        <f ca="1">IF(tbl_CVX[[#This Row],[RS]]= "", "", 100-(100/(1+tbl_CVX[[#This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IF(tbl_CVX[[#This Row],[BB_Mean]]="", "", tbl_CVX[[#This Row],[BB_Mean]]+(BB_Width*tbl_CVX[[#This Row],[BB_Stdev]]))</f>
        <v/>
      </c>
      <c r="L12" s="10" t="str">
        <f ca="1">IF(tbl_CVX[[#This Row],[BB_Mean]]="", "", tbl_CVX[[#This Row],[BB_Mean]]-(BB_Width*tbl_CVX[[#This Row],[BB_Stdev]]))</f>
        <v/>
      </c>
      <c r="M12" s="46">
        <f>IF(ROW(tbl_CVX[[#This Row],[Adj Close]])=5, 0, $F12-$F11)</f>
        <v>-1.2399979999999999</v>
      </c>
      <c r="N12" s="46">
        <f>MAX(tbl_CVX[[#This Row],[Move]],0)</f>
        <v>0</v>
      </c>
      <c r="O12" s="46">
        <f>MAX(-tbl_CVX[[#This Row],[Move]],0)</f>
        <v>1.2399979999999999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IF(tbl_CVX[[#This Row],[Avg_Upmove]]="", "", tbl_CVX[[#This Row],[Avg_Upmove]]/tbl_CVX[[#This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85.419998000000007</v>
      </c>
      <c r="C13" s="10">
        <v>86.889999000000003</v>
      </c>
      <c r="D13" s="10">
        <v>84.730002999999996</v>
      </c>
      <c r="E13" s="10">
        <v>84.809997999999993</v>
      </c>
      <c r="F13" s="10">
        <v>84.809997999999993</v>
      </c>
      <c r="G13">
        <v>7872300</v>
      </c>
      <c r="H13" s="10">
        <f>IF(tbl_CVX[[#This Row],[Date]]=$A$5, $F13, EMA_Beta*$H12 + (1-EMA_Beta)*$F13)</f>
        <v>88.004419539390383</v>
      </c>
      <c r="I13" s="46" t="str">
        <f ca="1">IF(tbl_CVX[[#This Row],[RS]]= "", "", 100-(100/(1+tbl_CVX[[#This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IF(tbl_CVX[[#This Row],[BB_Mean]]="", "", tbl_CVX[[#This Row],[BB_Mean]]+(BB_Width*tbl_CVX[[#This Row],[BB_Stdev]]))</f>
        <v/>
      </c>
      <c r="L13" s="10" t="str">
        <f ca="1">IF(tbl_CVX[[#This Row],[BB_Mean]]="", "", tbl_CVX[[#This Row],[BB_Mean]]-(BB_Width*tbl_CVX[[#This Row],[BB_Stdev]]))</f>
        <v/>
      </c>
      <c r="M13" s="46">
        <f>IF(ROW(tbl_CVX[[#This Row],[Adj Close]])=5, 0, $F13-$F12)</f>
        <v>-1.58000100000001</v>
      </c>
      <c r="N13" s="46">
        <f>MAX(tbl_CVX[[#This Row],[Move]],0)</f>
        <v>0</v>
      </c>
      <c r="O13" s="46">
        <f>MAX(-tbl_CVX[[#This Row],[Move]],0)</f>
        <v>1.58000100000001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IF(tbl_CVX[[#This Row],[Avg_Upmove]]="", "", tbl_CVX[[#This Row],[Avg_Upmove]]/tbl_CVX[[#This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84.669998000000007</v>
      </c>
      <c r="C14" s="10">
        <v>85.089995999999999</v>
      </c>
      <c r="D14" s="10">
        <v>83.510002</v>
      </c>
      <c r="E14" s="10">
        <v>85.080001999999993</v>
      </c>
      <c r="F14" s="10">
        <v>85.080001999999993</v>
      </c>
      <c r="G14">
        <v>9003600</v>
      </c>
      <c r="H14" s="10">
        <f>IF(tbl_CVX[[#This Row],[Date]]=$A$5, $F14, EMA_Beta*$H13 + (1-EMA_Beta)*$F14)</f>
        <v>87.711977785451339</v>
      </c>
      <c r="I14" s="46" t="str">
        <f ca="1">IF(tbl_CVX[[#This Row],[RS]]= "", "", 100-(100/(1+tbl_CVX[[#This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IF(tbl_CVX[[#This Row],[BB_Mean]]="", "", tbl_CVX[[#This Row],[BB_Mean]]+(BB_Width*tbl_CVX[[#This Row],[BB_Stdev]]))</f>
        <v/>
      </c>
      <c r="L14" s="10" t="str">
        <f ca="1">IF(tbl_CVX[[#This Row],[BB_Mean]]="", "", tbl_CVX[[#This Row],[BB_Mean]]-(BB_Width*tbl_CVX[[#This Row],[BB_Stdev]]))</f>
        <v/>
      </c>
      <c r="M14" s="46">
        <f>IF(ROW(tbl_CVX[[#This Row],[Adj Close]])=5, 0, $F14-$F13)</f>
        <v>0.27000400000000013</v>
      </c>
      <c r="N14" s="46">
        <f>MAX(tbl_CVX[[#This Row],[Move]],0)</f>
        <v>0.27000400000000013</v>
      </c>
      <c r="O14" s="46">
        <f>MAX(-tbl_CVX[[#This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IF(tbl_CVX[[#This Row],[Avg_Upmove]]="", "", tbl_CVX[[#This Row],[Avg_Upmove]]/tbl_CVX[[#This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85.599997999999999</v>
      </c>
      <c r="C15" s="10">
        <v>87.339995999999999</v>
      </c>
      <c r="D15" s="10">
        <v>84.889999000000003</v>
      </c>
      <c r="E15" s="10">
        <v>87.199996999999996</v>
      </c>
      <c r="F15" s="10">
        <v>87.199996999999996</v>
      </c>
      <c r="G15">
        <v>8738700</v>
      </c>
      <c r="H15" s="10">
        <f>IF(tbl_CVX[[#This Row],[Date]]=$A$5, $F15, EMA_Beta*$H14 + (1-EMA_Beta)*$F15)</f>
        <v>87.660779706906212</v>
      </c>
      <c r="I15" s="46" t="str">
        <f ca="1">IF(tbl_CVX[[#This Row],[RS]]= "", "", 100-(100/(1+tbl_CVX[[#This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IF(tbl_CVX[[#This Row],[BB_Mean]]="", "", tbl_CVX[[#This Row],[BB_Mean]]+(BB_Width*tbl_CVX[[#This Row],[BB_Stdev]]))</f>
        <v/>
      </c>
      <c r="L15" s="10" t="str">
        <f ca="1">IF(tbl_CVX[[#This Row],[BB_Mean]]="", "", tbl_CVX[[#This Row],[BB_Mean]]-(BB_Width*tbl_CVX[[#This Row],[BB_Stdev]]))</f>
        <v/>
      </c>
      <c r="M15" s="46">
        <f>IF(ROW(tbl_CVX[[#This Row],[Adj Close]])=5, 0, $F15-$F14)</f>
        <v>2.119995000000003</v>
      </c>
      <c r="N15" s="46">
        <f>MAX(tbl_CVX[[#This Row],[Move]],0)</f>
        <v>2.119995000000003</v>
      </c>
      <c r="O15" s="46">
        <f>MAX(-tbl_CVX[[#This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IF(tbl_CVX[[#This Row],[Avg_Upmove]]="", "", tbl_CVX[[#This Row],[Avg_Upmove]]/tbl_CVX[[#This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88.010002</v>
      </c>
      <c r="C16" s="10">
        <v>88.040001000000004</v>
      </c>
      <c r="D16" s="10">
        <v>85.760002</v>
      </c>
      <c r="E16" s="10">
        <v>86.129997000000003</v>
      </c>
      <c r="F16" s="10">
        <v>86.129997000000003</v>
      </c>
      <c r="G16">
        <v>6835800</v>
      </c>
      <c r="H16" s="10">
        <f>IF(tbl_CVX[[#This Row],[Date]]=$A$5, $F16, EMA_Beta*$H15 + (1-EMA_Beta)*$F16)</f>
        <v>87.507701436215598</v>
      </c>
      <c r="I16" s="46" t="str">
        <f ca="1">IF(tbl_CVX[[#This Row],[RS]]= "", "", 100-(100/(1+tbl_CVX[[#This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IF(tbl_CVX[[#This Row],[BB_Mean]]="", "", tbl_CVX[[#This Row],[BB_Mean]]+(BB_Width*tbl_CVX[[#This Row],[BB_Stdev]]))</f>
        <v/>
      </c>
      <c r="L16" s="10" t="str">
        <f ca="1">IF(tbl_CVX[[#This Row],[BB_Mean]]="", "", tbl_CVX[[#This Row],[BB_Mean]]-(BB_Width*tbl_CVX[[#This Row],[BB_Stdev]]))</f>
        <v/>
      </c>
      <c r="M16" s="46">
        <f>IF(ROW(tbl_CVX[[#This Row],[Adj Close]])=5, 0, $F16-$F15)</f>
        <v>-1.0699999999999932</v>
      </c>
      <c r="N16" s="46">
        <f>MAX(tbl_CVX[[#This Row],[Move]],0)</f>
        <v>0</v>
      </c>
      <c r="O16" s="46">
        <f>MAX(-tbl_CVX[[#This Row],[Move]],0)</f>
        <v>1.0699999999999932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IF(tbl_CVX[[#This Row],[Avg_Upmove]]="", "", tbl_CVX[[#This Row],[Avg_Upmove]]/tbl_CVX[[#This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85.709998999999996</v>
      </c>
      <c r="C17" s="10">
        <v>85.839995999999999</v>
      </c>
      <c r="D17" s="10">
        <v>84.660004000000001</v>
      </c>
      <c r="E17" s="10">
        <v>84.779999000000004</v>
      </c>
      <c r="F17" s="10">
        <v>84.779999000000004</v>
      </c>
      <c r="G17">
        <v>7486500</v>
      </c>
      <c r="H17" s="10">
        <f>IF(tbl_CVX[[#This Row],[Date]]=$A$5, $F17, EMA_Beta*$H16 + (1-EMA_Beta)*$F17)</f>
        <v>87.234931192594047</v>
      </c>
      <c r="I17" s="46" t="str">
        <f ca="1">IF(tbl_CVX[[#This Row],[RS]]= "", "", 100-(100/(1+tbl_CVX[[#This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IF(tbl_CVX[[#This Row],[BB_Mean]]="", "", tbl_CVX[[#This Row],[BB_Mean]]+(BB_Width*tbl_CVX[[#This Row],[BB_Stdev]]))</f>
        <v/>
      </c>
      <c r="L17" s="10" t="str">
        <f ca="1">IF(tbl_CVX[[#This Row],[BB_Mean]]="", "", tbl_CVX[[#This Row],[BB_Mean]]-(BB_Width*tbl_CVX[[#This Row],[BB_Stdev]]))</f>
        <v/>
      </c>
      <c r="M17" s="46">
        <f>IF(ROW(tbl_CVX[[#This Row],[Adj Close]])=5, 0, $F17-$F16)</f>
        <v>-1.3499979999999994</v>
      </c>
      <c r="N17" s="46">
        <f>MAX(tbl_CVX[[#This Row],[Move]],0)</f>
        <v>0</v>
      </c>
      <c r="O17" s="46">
        <f>MAX(-tbl_CVX[[#This Row],[Move]],0)</f>
        <v>1.3499979999999994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IF(tbl_CVX[[#This Row],[Avg_Upmove]]="", "", tbl_CVX[[#This Row],[Avg_Upmove]]/tbl_CVX[[#This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85.160004000000001</v>
      </c>
      <c r="C18" s="10">
        <v>85.629997000000003</v>
      </c>
      <c r="D18" s="10">
        <v>83.970000999999996</v>
      </c>
      <c r="E18" s="10">
        <v>84.910004000000001</v>
      </c>
      <c r="F18" s="10">
        <v>84.910004000000001</v>
      </c>
      <c r="G18">
        <v>7438200</v>
      </c>
      <c r="H18" s="10">
        <f>IF(tbl_CVX[[#This Row],[Date]]=$A$5, $F18, EMA_Beta*$H17 + (1-EMA_Beta)*$F18)</f>
        <v>87.002438473334649</v>
      </c>
      <c r="I18" s="46" t="str">
        <f ca="1">IF(tbl_CVX[[#This Row],[RS]]= "", "", 100-(100/(1+tbl_CVX[[#This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87.160805928571449</v>
      </c>
      <c r="K18" s="10">
        <f ca="1">IF(tbl_CVX[[#This Row],[BB_Mean]]="", "", tbl_CVX[[#This Row],[BB_Mean]]+(BB_Width*tbl_CVX[[#This Row],[BB_Stdev]]))</f>
        <v>90.739426885974964</v>
      </c>
      <c r="L18" s="10">
        <f ca="1">IF(tbl_CVX[[#This Row],[BB_Mean]]="", "", tbl_CVX[[#This Row],[BB_Mean]]-(BB_Width*tbl_CVX[[#This Row],[BB_Stdev]]))</f>
        <v>83.582184971167933</v>
      </c>
      <c r="M18" s="46">
        <f>IF(ROW(tbl_CVX[[#This Row],[Adj Close]])=5, 0, $F18-$F17)</f>
        <v>0.13000499999999704</v>
      </c>
      <c r="N18" s="46">
        <f>MAX(tbl_CVX[[#This Row],[Move]],0)</f>
        <v>0.13000499999999704</v>
      </c>
      <c r="O18" s="46">
        <f>MAX(-tbl_CVX[[#This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IF(tbl_CVX[[#This Row],[Avg_Upmove]]="", "", tbl_CVX[[#This Row],[Avg_Upmove]]/tbl_CVX[[#This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1.7893104787017589</v>
      </c>
    </row>
    <row r="19" spans="1:19" x14ac:dyDescent="0.35">
      <c r="A19" s="8">
        <v>44071</v>
      </c>
      <c r="B19" s="10">
        <v>85.050003000000004</v>
      </c>
      <c r="C19" s="10">
        <v>85.730002999999996</v>
      </c>
      <c r="D19" s="10">
        <v>84.32</v>
      </c>
      <c r="E19" s="10">
        <v>85.629997000000003</v>
      </c>
      <c r="F19" s="10">
        <v>85.629997000000003</v>
      </c>
      <c r="G19">
        <v>7307900</v>
      </c>
      <c r="H19" s="10">
        <f>IF(tbl_CVX[[#This Row],[Date]]=$A$5, $F19, EMA_Beta*$H18 + (1-EMA_Beta)*$F19)</f>
        <v>86.865194326001188</v>
      </c>
      <c r="I19" s="46">
        <f ca="1">IF(tbl_CVX[[#This Row],[RS]]= "", "", 100-(100/(1+tbl_CVX[[#This Row],[RS]])))</f>
        <v>39.417519723505329</v>
      </c>
      <c r="J19" s="10">
        <f ca="1">IF(ROW($N19)-4&lt;BB_Periods, "", AVERAGE(INDIRECT(ADDRESS(ROW($F19)-RSI_Periods +1, MATCH("Adj Close", Price_Header,0))): INDIRECT(ADDRESS(ROW($F19),MATCH("Adj Close", Price_Header,0)))))</f>
        <v>86.95903564285716</v>
      </c>
      <c r="K19" s="10">
        <f ca="1">IF(tbl_CVX[[#This Row],[BB_Mean]]="", "", tbl_CVX[[#This Row],[BB_Mean]]+(BB_Width*tbl_CVX[[#This Row],[BB_Stdev]]))</f>
        <v>90.541912135502926</v>
      </c>
      <c r="L19" s="10">
        <f ca="1">IF(tbl_CVX[[#This Row],[BB_Mean]]="", "", tbl_CVX[[#This Row],[BB_Mean]]-(BB_Width*tbl_CVX[[#This Row],[BB_Stdev]]))</f>
        <v>83.376159150211393</v>
      </c>
      <c r="M19" s="46">
        <f>IF(ROW(tbl_CVX[[#This Row],[Adj Close]])=5, 0, $F19-$F18)</f>
        <v>0.71999300000000233</v>
      </c>
      <c r="N19" s="46">
        <f>MAX(tbl_CVX[[#This Row],[Move]],0)</f>
        <v>0.71999300000000233</v>
      </c>
      <c r="O19" s="46">
        <f>MAX(-tbl_CVX[[#This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0.37577600000000089</v>
      </c>
      <c r="Q19" s="46">
        <f ca="1">IF(ROW($O19)-5&lt;RSI_Periods, "", AVERAGE(INDIRECT(ADDRESS(ROW($O19)-RSI_Periods +1, MATCH("Downmove", Price_Header,0))): INDIRECT(ADDRESS(ROW($O19),MATCH("Downmove", Price_Header,0)))))</f>
        <v>0.57754628571428612</v>
      </c>
      <c r="R19" s="46">
        <f ca="1">IF(tbl_CVX[[#This Row],[Avg_Upmove]]="", "", tbl_CVX[[#This Row],[Avg_Upmove]]/tbl_CVX[[#This Row],[Avg_Downmove]])</f>
        <v>0.65064222434615115</v>
      </c>
      <c r="S19" s="10">
        <f ca="1">IF(ROW($N19)-4&lt;BB_Periods, "", _xlfn.STDEV.S(INDIRECT(ADDRESS(ROW($F19)-RSI_Periods +1, MATCH("Adj Close", Price_Header,0))): INDIRECT(ADDRESS(ROW($F19),MATCH("Adj Close", Price_Header,0)))))</f>
        <v>1.7914382463228815</v>
      </c>
    </row>
    <row r="20" spans="1:19" x14ac:dyDescent="0.35">
      <c r="A20" s="8">
        <v>44074</v>
      </c>
      <c r="B20" s="10">
        <v>85.830001999999993</v>
      </c>
      <c r="C20" s="10">
        <v>85.900002000000001</v>
      </c>
      <c r="D20" s="10">
        <v>83.870002999999997</v>
      </c>
      <c r="E20" s="10">
        <v>83.93</v>
      </c>
      <c r="F20" s="10">
        <v>83.93</v>
      </c>
      <c r="G20">
        <v>9437500</v>
      </c>
      <c r="H20" s="10">
        <f>IF(tbl_CVX[[#This Row],[Date]]=$A$5, $F20, EMA_Beta*$H19 + (1-EMA_Beta)*$F20)</f>
        <v>86.571674893401067</v>
      </c>
      <c r="I20" s="46">
        <f ca="1">IF(tbl_CVX[[#This Row],[RS]]= "", "", 100-(100/(1+tbl_CVX[[#This Row],[RS]])))</f>
        <v>35.217824629577393</v>
      </c>
      <c r="J20" s="10">
        <f ca="1">IF(ROW($N20)-4&lt;BB_Periods, "", AVERAGE(INDIRECT(ADDRESS(ROW($F20)-RSI_Periods +1, MATCH("Adj Close", Price_Header,0))): INDIRECT(ADDRESS(ROW($F20),MATCH("Adj Close", Price_Header,0)))))</f>
        <v>86.643582499999994</v>
      </c>
      <c r="K20" s="10">
        <f ca="1">IF(tbl_CVX[[#This Row],[BB_Mean]]="", "", tbl_CVX[[#This Row],[BB_Mean]]+(BB_Width*tbl_CVX[[#This Row],[BB_Stdev]]))</f>
        <v>90.469709110483464</v>
      </c>
      <c r="L20" s="10">
        <f ca="1">IF(tbl_CVX[[#This Row],[BB_Mean]]="", "", tbl_CVX[[#This Row],[BB_Mean]]-(BB_Width*tbl_CVX[[#This Row],[BB_Stdev]]))</f>
        <v>82.817455889516523</v>
      </c>
      <c r="M20" s="46">
        <f>IF(ROW(tbl_CVX[[#This Row],[Adj Close]])=5, 0, $F20-$F19)</f>
        <v>-1.6999969999999962</v>
      </c>
      <c r="N20" s="46">
        <f>MAX(tbl_CVX[[#This Row],[Move]],0)</f>
        <v>0</v>
      </c>
      <c r="O20" s="46">
        <f>MAX(-tbl_CVX[[#This Row],[Move]],0)</f>
        <v>1.6999969999999962</v>
      </c>
      <c r="P20" s="46">
        <f ca="1">IF(ROW($N20)-5&lt;RSI_Periods, "", AVERAGE(INDIRECT(ADDRESS(ROW($N20)-RSI_Periods +1, MATCH("Upmove", Price_Header,0))): INDIRECT(ADDRESS(ROW($N20),MATCH("Upmove", Price_Header,0)))))</f>
        <v>0.37577600000000089</v>
      </c>
      <c r="Q20" s="46">
        <f ca="1">IF(ROW($O20)-5&lt;RSI_Periods, "", AVERAGE(INDIRECT(ADDRESS(ROW($O20)-RSI_Periods +1, MATCH("Downmove", Price_Header,0))): INDIRECT(ADDRESS(ROW($O20),MATCH("Downmove", Price_Header,0)))))</f>
        <v>0.69122914285714343</v>
      </c>
      <c r="R20" s="46">
        <f ca="1">IF(tbl_CVX[[#This Row],[Avg_Upmove]]="", "", tbl_CVX[[#This Row],[Avg_Upmove]]/tbl_CVX[[#This Row],[Avg_Downmove]])</f>
        <v>0.54363448631051514</v>
      </c>
      <c r="S20" s="10">
        <f ca="1">IF(ROW($N20)-4&lt;BB_Periods, "", _xlfn.STDEV.S(INDIRECT(ADDRESS(ROW($F20)-RSI_Periods +1, MATCH("Adj Close", Price_Header,0))): INDIRECT(ADDRESS(ROW($F20),MATCH("Adj Close", Price_Header,0)))))</f>
        <v>1.9130633052417318</v>
      </c>
    </row>
    <row r="21" spans="1:19" x14ac:dyDescent="0.35">
      <c r="A21" s="8">
        <v>44075</v>
      </c>
      <c r="B21" s="10">
        <v>83.260002</v>
      </c>
      <c r="C21" s="10">
        <v>83.629997000000003</v>
      </c>
      <c r="D21" s="10">
        <v>82.449996999999996</v>
      </c>
      <c r="E21" s="10">
        <v>83.080001999999993</v>
      </c>
      <c r="F21" s="10">
        <v>83.080001999999993</v>
      </c>
      <c r="G21">
        <v>8997200</v>
      </c>
      <c r="H21" s="10">
        <f>IF(tbl_CVX[[#This Row],[Date]]=$A$5, $F21, EMA_Beta*$H20 + (1-EMA_Beta)*$F21)</f>
        <v>86.222507604060951</v>
      </c>
      <c r="I21" s="46">
        <f ca="1">IF(tbl_CVX[[#This Row],[RS]]= "", "", 100-(100/(1+tbl_CVX[[#This Row],[RS]])))</f>
        <v>28.404393886057562</v>
      </c>
      <c r="J21" s="10">
        <f ca="1">IF(ROW($N21)-4&lt;BB_Periods, "", AVERAGE(INDIRECT(ADDRESS(ROW($F21)-RSI_Periods +1, MATCH("Adj Close", Price_Header,0))): INDIRECT(ADDRESS(ROW($F21),MATCH("Adj Close", Price_Header,0)))))</f>
        <v>86.189960499999998</v>
      </c>
      <c r="K21" s="10">
        <f ca="1">IF(tbl_CVX[[#This Row],[BB_Mean]]="", "", tbl_CVX[[#This Row],[BB_Mean]]+(BB_Width*tbl_CVX[[#This Row],[BB_Stdev]]))</f>
        <v>90.097655124024968</v>
      </c>
      <c r="L21" s="10">
        <f ca="1">IF(tbl_CVX[[#This Row],[BB_Mean]]="", "", tbl_CVX[[#This Row],[BB_Mean]]-(BB_Width*tbl_CVX[[#This Row],[BB_Stdev]]))</f>
        <v>82.282265875975028</v>
      </c>
      <c r="M21" s="46">
        <f>IF(ROW(tbl_CVX[[#This Row],[Adj Close]])=5, 0, $F21-$F20)</f>
        <v>-0.84999800000001358</v>
      </c>
      <c r="N21" s="46">
        <f>MAX(tbl_CVX[[#This Row],[Move]],0)</f>
        <v>0</v>
      </c>
      <c r="O21" s="46">
        <f>MAX(-tbl_CVX[[#This Row],[Move]],0)</f>
        <v>0.84999800000001358</v>
      </c>
      <c r="P21" s="46">
        <f ca="1">IF(ROW($N21)-5&lt;RSI_Periods, "", AVERAGE(INDIRECT(ADDRESS(ROW($N21)-RSI_Periods +1, MATCH("Upmove", Price_Header,0))): INDIRECT(ADDRESS(ROW($N21),MATCH("Upmove", Price_Header,0)))))</f>
        <v>0.2983212857142864</v>
      </c>
      <c r="Q21" s="46">
        <f ca="1">IF(ROW($O21)-5&lt;RSI_Periods, "", AVERAGE(INDIRECT(ADDRESS(ROW($O21)-RSI_Periods +1, MATCH("Downmove", Price_Header,0))): INDIRECT(ADDRESS(ROW($O21),MATCH("Downmove", Price_Header,0)))))</f>
        <v>0.75194328571428726</v>
      </c>
      <c r="R21" s="46">
        <f ca="1">IF(tbl_CVX[[#This Row],[Avg_Upmove]]="", "", tbl_CVX[[#This Row],[Avg_Upmove]]/tbl_CVX[[#This Row],[Avg_Downmove]])</f>
        <v>0.39673375822606693</v>
      </c>
      <c r="S21" s="10">
        <f ca="1">IF(ROW($N21)-4&lt;BB_Periods, "", _xlfn.STDEV.S(INDIRECT(ADDRESS(ROW($F21)-RSI_Periods +1, MATCH("Adj Close", Price_Header,0))): INDIRECT(ADDRESS(ROW($F21),MATCH("Adj Close", Price_Header,0)))))</f>
        <v>1.9538473120124868</v>
      </c>
    </row>
    <row r="22" spans="1:19" x14ac:dyDescent="0.35">
      <c r="A22" s="8">
        <v>44076</v>
      </c>
      <c r="B22" s="10">
        <v>83.059997999999993</v>
      </c>
      <c r="C22" s="10">
        <v>83.959998999999996</v>
      </c>
      <c r="D22" s="10">
        <v>82.699996999999996</v>
      </c>
      <c r="E22" s="10">
        <v>83.190002000000007</v>
      </c>
      <c r="F22" s="10">
        <v>83.190002000000007</v>
      </c>
      <c r="G22">
        <v>10821900</v>
      </c>
      <c r="H22" s="10">
        <f>IF(tbl_CVX[[#This Row],[Date]]=$A$5, $F22, EMA_Beta*$H21 + (1-EMA_Beta)*$F22)</f>
        <v>85.919257043654866</v>
      </c>
      <c r="I22" s="46">
        <f ca="1">IF(tbl_CVX[[#This Row],[RS]]= "", "", 100-(100/(1+tbl_CVX[[#This Row],[RS]])))</f>
        <v>30.779459201813282</v>
      </c>
      <c r="J22" s="10">
        <f ca="1">IF(ROW($N22)-4&lt;BB_Periods, "", AVERAGE(INDIRECT(ADDRESS(ROW($F22)-RSI_Periods +1, MATCH("Adj Close", Price_Header,0))): INDIRECT(ADDRESS(ROW($F22),MATCH("Adj Close", Price_Header,0)))))</f>
        <v>85.807568142857136</v>
      </c>
      <c r="K22" s="10">
        <f ca="1">IF(tbl_CVX[[#This Row],[BB_Mean]]="", "", tbl_CVX[[#This Row],[BB_Mean]]+(BB_Width*tbl_CVX[[#This Row],[BB_Stdev]]))</f>
        <v>89.770521303331648</v>
      </c>
      <c r="L22" s="10">
        <f ca="1">IF(tbl_CVX[[#This Row],[BB_Mean]]="", "", tbl_CVX[[#This Row],[BB_Mean]]-(BB_Width*tbl_CVX[[#This Row],[BB_Stdev]]))</f>
        <v>81.844614982382623</v>
      </c>
      <c r="M22" s="46">
        <f>IF(ROW(tbl_CVX[[#This Row],[Adj Close]])=5, 0, $F22-$F21)</f>
        <v>0.11000000000001364</v>
      </c>
      <c r="N22" s="46">
        <f>MAX(tbl_CVX[[#This Row],[Move]],0)</f>
        <v>0.11000000000001364</v>
      </c>
      <c r="O22" s="46">
        <f>MAX(-tbl_CVX[[#This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0.30617842857143024</v>
      </c>
      <c r="Q22" s="46">
        <f ca="1">IF(ROW($O22)-5&lt;RSI_Periods, "", AVERAGE(INDIRECT(ADDRESS(ROW($O22)-RSI_Periods +1, MATCH("Downmove", Price_Header,0))): INDIRECT(ADDRESS(ROW($O22),MATCH("Downmove", Price_Header,0)))))</f>
        <v>0.68857078571428632</v>
      </c>
      <c r="R22" s="46">
        <f ca="1">IF(tbl_CVX[[#This Row],[Avg_Upmove]]="", "", tbl_CVX[[#This Row],[Avg_Upmove]]/tbl_CVX[[#This Row],[Avg_Downmove]])</f>
        <v>0.44465788401669876</v>
      </c>
      <c r="S22" s="10">
        <f ca="1">IF(ROW($N22)-4&lt;BB_Periods, "", _xlfn.STDEV.S(INDIRECT(ADDRESS(ROW($F22)-RSI_Periods +1, MATCH("Adj Close", Price_Header,0))): INDIRECT(ADDRESS(ROW($F22),MATCH("Adj Close", Price_Header,0)))))</f>
        <v>1.9814765802372591</v>
      </c>
    </row>
    <row r="23" spans="1:19" x14ac:dyDescent="0.35">
      <c r="A23" s="8">
        <v>44077</v>
      </c>
      <c r="B23" s="10">
        <v>83.050003000000004</v>
      </c>
      <c r="C23" s="10">
        <v>84.489998</v>
      </c>
      <c r="D23" s="10">
        <v>81.709998999999996</v>
      </c>
      <c r="E23" s="10">
        <v>82.279999000000004</v>
      </c>
      <c r="F23" s="10">
        <v>82.279999000000004</v>
      </c>
      <c r="G23">
        <v>16179900</v>
      </c>
      <c r="H23" s="10">
        <f>IF(tbl_CVX[[#This Row],[Date]]=$A$5, $F23, EMA_Beta*$H22 + (1-EMA_Beta)*$F23)</f>
        <v>85.555331239289387</v>
      </c>
      <c r="I23" s="46">
        <f ca="1">IF(tbl_CVX[[#This Row],[RS]]= "", "", 100-(100/(1+tbl_CVX[[#This Row],[RS]])))</f>
        <v>26.296094396383268</v>
      </c>
      <c r="J23" s="10">
        <f ca="1">IF(ROW($N23)-4&lt;BB_Periods, "", AVERAGE(INDIRECT(ADDRESS(ROW($F23)-RSI_Periods +1, MATCH("Adj Close", Price_Header,0))): INDIRECT(ADDRESS(ROW($F23),MATCH("Adj Close", Price_Header,0)))))</f>
        <v>85.322856357142868</v>
      </c>
      <c r="K23" s="10">
        <f ca="1">IF(tbl_CVX[[#This Row],[BB_Mean]]="", "", tbl_CVX[[#This Row],[BB_Mean]]+(BB_Width*tbl_CVX[[#This Row],[BB_Stdev]]))</f>
        <v>89.228615654040055</v>
      </c>
      <c r="L23" s="10">
        <f ca="1">IF(tbl_CVX[[#This Row],[BB_Mean]]="", "", tbl_CVX[[#This Row],[BB_Mean]]-(BB_Width*tbl_CVX[[#This Row],[BB_Stdev]]))</f>
        <v>81.41709706024568</v>
      </c>
      <c r="M23" s="46">
        <f>IF(ROW(tbl_CVX[[#This Row],[Adj Close]])=5, 0, $F23-$F22)</f>
        <v>-0.91000300000000323</v>
      </c>
      <c r="N23" s="46">
        <f>MAX(tbl_CVX[[#This Row],[Move]],0)</f>
        <v>0</v>
      </c>
      <c r="O23" s="46">
        <f>MAX(-tbl_CVX[[#This Row],[Move]],0)</f>
        <v>0.91000300000000323</v>
      </c>
      <c r="P23" s="46">
        <f ca="1">IF(ROW($N23)-5&lt;RSI_Periods, "", AVERAGE(INDIRECT(ADDRESS(ROW($N23)-RSI_Periods +1, MATCH("Upmove", Price_Header,0))): INDIRECT(ADDRESS(ROW($N23),MATCH("Upmove", Price_Header,0)))))</f>
        <v>0.26885921428571585</v>
      </c>
      <c r="Q23" s="46">
        <f ca="1">IF(ROW($O23)-5&lt;RSI_Periods, "", AVERAGE(INDIRECT(ADDRESS(ROW($O23)-RSI_Periods +1, MATCH("Downmove", Price_Header,0))): INDIRECT(ADDRESS(ROW($O23),MATCH("Downmove", Price_Header,0)))))</f>
        <v>0.75357100000000088</v>
      </c>
      <c r="R23" s="46">
        <f ca="1">IF(tbl_CVX[[#This Row],[Avg_Upmove]]="", "", tbl_CVX[[#This Row],[Avg_Upmove]]/tbl_CVX[[#This Row],[Avg_Downmove]])</f>
        <v>0.35678020290817392</v>
      </c>
      <c r="S23" s="10">
        <f ca="1">IF(ROW($N23)-4&lt;BB_Periods, "", _xlfn.STDEV.S(INDIRECT(ADDRESS(ROW($F23)-RSI_Periods +1, MATCH("Adj Close", Price_Header,0))): INDIRECT(ADDRESS(ROW($F23),MATCH("Adj Close", Price_Header,0)))))</f>
        <v>1.9528796484485946</v>
      </c>
    </row>
    <row r="24" spans="1:19" x14ac:dyDescent="0.35">
      <c r="A24" s="8">
        <v>44078</v>
      </c>
      <c r="B24" s="10">
        <v>82.459998999999996</v>
      </c>
      <c r="C24" s="10">
        <v>83.639999000000003</v>
      </c>
      <c r="D24" s="10">
        <v>80.900002000000001</v>
      </c>
      <c r="E24" s="10">
        <v>81.93</v>
      </c>
      <c r="F24" s="10">
        <v>81.93</v>
      </c>
      <c r="G24">
        <v>10516600</v>
      </c>
      <c r="H24" s="10">
        <f>IF(tbl_CVX[[#This Row],[Date]]=$A$5, $F24, EMA_Beta*$H23 + (1-EMA_Beta)*$F24)</f>
        <v>85.192798115360446</v>
      </c>
      <c r="I24" s="46">
        <f ca="1">IF(tbl_CVX[[#This Row],[RS]]= "", "", 100-(100/(1+tbl_CVX[[#This Row],[RS]])))</f>
        <v>23.508767374573665</v>
      </c>
      <c r="J24" s="10">
        <f ca="1">IF(ROW($N24)-4&lt;BB_Periods, "", AVERAGE(INDIRECT(ADDRESS(ROW($F24)-RSI_Periods +1, MATCH("Adj Close", Price_Header,0))): INDIRECT(ADDRESS(ROW($F24),MATCH("Adj Close", Price_Header,0)))))</f>
        <v>84.783570928571436</v>
      </c>
      <c r="K24" s="10">
        <f ca="1">IF(tbl_CVX[[#This Row],[BB_Mean]]="", "", tbl_CVX[[#This Row],[BB_Mean]]+(BB_Width*tbl_CVX[[#This Row],[BB_Stdev]]))</f>
        <v>88.280236038628288</v>
      </c>
      <c r="L24" s="10">
        <f ca="1">IF(tbl_CVX[[#This Row],[BB_Mean]]="", "", tbl_CVX[[#This Row],[BB_Mean]]-(BB_Width*tbl_CVX[[#This Row],[BB_Stdev]]))</f>
        <v>81.286905818514583</v>
      </c>
      <c r="M24" s="46">
        <f>IF(ROW(tbl_CVX[[#This Row],[Adj Close]])=5, 0, $F24-$F23)</f>
        <v>-0.34999899999999684</v>
      </c>
      <c r="N24" s="46">
        <f>MAX(tbl_CVX[[#This Row],[Move]],0)</f>
        <v>0</v>
      </c>
      <c r="O24" s="46">
        <f>MAX(-tbl_CVX[[#This Row],[Move]],0)</f>
        <v>0.34999899999999684</v>
      </c>
      <c r="P24" s="46">
        <f ca="1">IF(ROW($N24)-5&lt;RSI_Periods, "", AVERAGE(INDIRECT(ADDRESS(ROW($N24)-RSI_Periods +1, MATCH("Upmove", Price_Header,0))): INDIRECT(ADDRESS(ROW($N24),MATCH("Upmove", Price_Header,0)))))</f>
        <v>0.23928550000000115</v>
      </c>
      <c r="Q24" s="46">
        <f ca="1">IF(ROW($O24)-5&lt;RSI_Periods, "", AVERAGE(INDIRECT(ADDRESS(ROW($O24)-RSI_Periods +1, MATCH("Downmove", Price_Header,0))): INDIRECT(ADDRESS(ROW($O24),MATCH("Downmove", Price_Header,0)))))</f>
        <v>0.77857092857142918</v>
      </c>
      <c r="R24" s="46">
        <f ca="1">IF(tbl_CVX[[#This Row],[Avg_Upmove]]="", "", tbl_CVX[[#This Row],[Avg_Upmove]]/tbl_CVX[[#This Row],[Avg_Downmove]])</f>
        <v>0.30733937168583625</v>
      </c>
      <c r="S24" s="10">
        <f ca="1">IF(ROW($N24)-4&lt;BB_Periods, "", _xlfn.STDEV.S(INDIRECT(ADDRESS(ROW($F24)-RSI_Periods +1, MATCH("Adj Close", Price_Header,0))): INDIRECT(ADDRESS(ROW($F24),MATCH("Adj Close", Price_Header,0)))))</f>
        <v>1.7483325550284252</v>
      </c>
    </row>
    <row r="25" spans="1:19" x14ac:dyDescent="0.35">
      <c r="A25" s="8">
        <v>44082</v>
      </c>
      <c r="B25" s="10">
        <v>80.5</v>
      </c>
      <c r="C25" s="10">
        <v>80.580001999999993</v>
      </c>
      <c r="D25" s="10">
        <v>78.040001000000004</v>
      </c>
      <c r="E25" s="10">
        <v>78.970000999999996</v>
      </c>
      <c r="F25" s="10">
        <v>78.970000999999996</v>
      </c>
      <c r="G25">
        <v>14942500</v>
      </c>
      <c r="H25" s="10">
        <f>IF(tbl_CVX[[#This Row],[Date]]=$A$5, $F25, EMA_Beta*$H24 + (1-EMA_Beta)*$F25)</f>
        <v>84.570518403824408</v>
      </c>
      <c r="I25" s="46">
        <f ca="1">IF(tbl_CVX[[#This Row],[RS]]= "", "", 100-(100/(1+tbl_CVX[[#This Row],[RS]])))</f>
        <v>21.809890501230839</v>
      </c>
      <c r="J25" s="10">
        <f ca="1">IF(ROW($N25)-4&lt;BB_Periods, "", AVERAGE(INDIRECT(ADDRESS(ROW($F25)-RSI_Periods +1, MATCH("Adj Close", Price_Header,0))): INDIRECT(ADDRESS(ROW($F25),MATCH("Adj Close", Price_Header,0)))))</f>
        <v>84.164999785714286</v>
      </c>
      <c r="K25" s="10">
        <f ca="1">IF(tbl_CVX[[#This Row],[BB_Mean]]="", "", tbl_CVX[[#This Row],[BB_Mean]]+(BB_Width*tbl_CVX[[#This Row],[BB_Stdev]]))</f>
        <v>88.464384275116402</v>
      </c>
      <c r="L25" s="10">
        <f ca="1">IF(tbl_CVX[[#This Row],[BB_Mean]]="", "", tbl_CVX[[#This Row],[BB_Mean]]-(BB_Width*tbl_CVX[[#This Row],[BB_Stdev]]))</f>
        <v>79.865615296312171</v>
      </c>
      <c r="M25" s="46">
        <f>IF(ROW(tbl_CVX[[#This Row],[Adj Close]])=5, 0, $F25-$F24)</f>
        <v>-2.9599990000000105</v>
      </c>
      <c r="N25" s="46">
        <f>MAX(tbl_CVX[[#This Row],[Move]],0)</f>
        <v>0</v>
      </c>
      <c r="O25" s="46">
        <f>MAX(-tbl_CVX[[#This Row],[Move]],0)</f>
        <v>2.9599990000000105</v>
      </c>
      <c r="P25" s="46">
        <f ca="1">IF(ROW($N25)-5&lt;RSI_Periods, "", AVERAGE(INDIRECT(ADDRESS(ROW($N25)-RSI_Periods +1, MATCH("Upmove", Price_Header,0))): INDIRECT(ADDRESS(ROW($N25),MATCH("Upmove", Price_Header,0)))))</f>
        <v>0.23928550000000115</v>
      </c>
      <c r="Q25" s="46">
        <f ca="1">IF(ROW($O25)-5&lt;RSI_Periods, "", AVERAGE(INDIRECT(ADDRESS(ROW($O25)-RSI_Periods +1, MATCH("Downmove", Price_Header,0))): INDIRECT(ADDRESS(ROW($O25),MATCH("Downmove", Price_Header,0)))))</f>
        <v>0.85785664285714447</v>
      </c>
      <c r="R25" s="46">
        <f ca="1">IF(tbl_CVX[[#This Row],[Avg_Upmove]]="", "", tbl_CVX[[#This Row],[Avg_Upmove]]/tbl_CVX[[#This Row],[Avg_Downmove]])</f>
        <v>0.27893413426635716</v>
      </c>
      <c r="S25" s="10">
        <f ca="1">IF(ROW($N25)-4&lt;BB_Periods, "", _xlfn.STDEV.S(INDIRECT(ADDRESS(ROW($F25)-RSI_Periods +1, MATCH("Adj Close", Price_Header,0))): INDIRECT(ADDRESS(ROW($F25),MATCH("Adj Close", Price_Header,0)))))</f>
        <v>2.149692244701058</v>
      </c>
    </row>
    <row r="26" spans="1:19" x14ac:dyDescent="0.35">
      <c r="A26" s="8">
        <v>44083</v>
      </c>
      <c r="B26" s="10">
        <v>79.970000999999996</v>
      </c>
      <c r="C26" s="10">
        <v>81.069999999999993</v>
      </c>
      <c r="D26" s="10">
        <v>79.680000000000007</v>
      </c>
      <c r="E26" s="10">
        <v>80.029999000000004</v>
      </c>
      <c r="F26" s="10">
        <v>80.029999000000004</v>
      </c>
      <c r="G26">
        <v>9269800</v>
      </c>
      <c r="H26" s="10">
        <f>IF(tbl_CVX[[#This Row],[Date]]=$A$5, $F26, EMA_Beta*$H25 + (1-EMA_Beta)*$F26)</f>
        <v>84.116466463441981</v>
      </c>
      <c r="I26" s="46">
        <f ca="1">IF(tbl_CVX[[#This Row],[RS]]= "", "", 100-(100/(1+tbl_CVX[[#This Row],[RS]])))</f>
        <v>29.051369599057779</v>
      </c>
      <c r="J26" s="10">
        <f ca="1">IF(ROW($N26)-4&lt;BB_Periods, "", AVERAGE(INDIRECT(ADDRESS(ROW($F26)-RSI_Periods +1, MATCH("Adj Close", Price_Header,0))): INDIRECT(ADDRESS(ROW($F26),MATCH("Adj Close", Price_Header,0)))))</f>
        <v>83.710714071428583</v>
      </c>
      <c r="K26" s="10">
        <f ca="1">IF(tbl_CVX[[#This Row],[BB_Mean]]="", "", tbl_CVX[[#This Row],[BB_Mean]]+(BB_Width*tbl_CVX[[#This Row],[BB_Stdev]]))</f>
        <v>88.329526791381326</v>
      </c>
      <c r="L26" s="10">
        <f ca="1">IF(tbl_CVX[[#This Row],[BB_Mean]]="", "", tbl_CVX[[#This Row],[BB_Mean]]-(BB_Width*tbl_CVX[[#This Row],[BB_Stdev]]))</f>
        <v>79.09190135147584</v>
      </c>
      <c r="M26" s="46">
        <f>IF(ROW(tbl_CVX[[#This Row],[Adj Close]])=5, 0, $F26-$F25)</f>
        <v>1.0599980000000073</v>
      </c>
      <c r="N26" s="46">
        <f>MAX(tbl_CVX[[#This Row],[Move]],0)</f>
        <v>1.0599980000000073</v>
      </c>
      <c r="O26" s="46">
        <f>MAX(-tbl_CVX[[#This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0.31499964285714455</v>
      </c>
      <c r="Q26" s="46">
        <f ca="1">IF(ROW($O26)-5&lt;RSI_Periods, "", AVERAGE(INDIRECT(ADDRESS(ROW($O26)-RSI_Periods +1, MATCH("Downmove", Price_Header,0))): INDIRECT(ADDRESS(ROW($O26),MATCH("Downmove", Price_Header,0)))))</f>
        <v>0.76928535714285873</v>
      </c>
      <c r="R26" s="46">
        <f ca="1">IF(tbl_CVX[[#This Row],[Avg_Upmove]]="", "", tbl_CVX[[#This Row],[Avg_Upmove]]/tbl_CVX[[#This Row],[Avg_Downmove]])</f>
        <v>0.40947047793429936</v>
      </c>
      <c r="S26" s="10">
        <f ca="1">IF(ROW($N26)-4&lt;BB_Periods, "", _xlfn.STDEV.S(INDIRECT(ADDRESS(ROW($F26)-RSI_Periods +1, MATCH("Adj Close", Price_Header,0))): INDIRECT(ADDRESS(ROW($F26),MATCH("Adj Close", Price_Header,0)))))</f>
        <v>2.3094063599763683</v>
      </c>
    </row>
    <row r="27" spans="1:19" x14ac:dyDescent="0.35">
      <c r="A27" s="8">
        <v>44084</v>
      </c>
      <c r="B27" s="10">
        <v>80.629997000000003</v>
      </c>
      <c r="C27" s="10">
        <v>80.889999000000003</v>
      </c>
      <c r="D27" s="10">
        <v>78.050003000000004</v>
      </c>
      <c r="E27" s="10">
        <v>78.150002000000001</v>
      </c>
      <c r="F27" s="10">
        <v>78.150002000000001</v>
      </c>
      <c r="G27">
        <v>11845900</v>
      </c>
      <c r="H27" s="10">
        <f>IF(tbl_CVX[[#This Row],[Date]]=$A$5, $F27, EMA_Beta*$H26 + (1-EMA_Beta)*$F27)</f>
        <v>83.519820017097786</v>
      </c>
      <c r="I27" s="46">
        <f ca="1">IF(tbl_CVX[[#This Row],[RS]]= "", "", 100-(100/(1+tbl_CVX[[#This Row],[RS]])))</f>
        <v>28.488365557953429</v>
      </c>
      <c r="J27" s="10">
        <f ca="1">IF(ROW($N27)-4&lt;BB_Periods, "", AVERAGE(INDIRECT(ADDRESS(ROW($F27)-RSI_Periods +1, MATCH("Adj Close", Price_Header,0))): INDIRECT(ADDRESS(ROW($F27),MATCH("Adj Close", Price_Header,0)))))</f>
        <v>83.235000071428587</v>
      </c>
      <c r="K27" s="10">
        <f ca="1">IF(tbl_CVX[[#This Row],[BB_Mean]]="", "", tbl_CVX[[#This Row],[BB_Mean]]+(BB_Width*tbl_CVX[[#This Row],[BB_Stdev]]))</f>
        <v>88.666489194625285</v>
      </c>
      <c r="L27" s="10">
        <f ca="1">IF(tbl_CVX[[#This Row],[BB_Mean]]="", "", tbl_CVX[[#This Row],[BB_Mean]]-(BB_Width*tbl_CVX[[#This Row],[BB_Stdev]]))</f>
        <v>77.803510948231889</v>
      </c>
      <c r="M27" s="46">
        <f>IF(ROW(tbl_CVX[[#This Row],[Adj Close]])=5, 0, $F27-$F26)</f>
        <v>-1.879997000000003</v>
      </c>
      <c r="N27" s="46">
        <f>MAX(tbl_CVX[[#This Row],[Move]],0)</f>
        <v>0</v>
      </c>
      <c r="O27" s="46">
        <f>MAX(-tbl_CVX[[#This Row],[Move]],0)</f>
        <v>1.879997000000003</v>
      </c>
      <c r="P27" s="46">
        <f ca="1">IF(ROW($N27)-5&lt;RSI_Periods, "", AVERAGE(INDIRECT(ADDRESS(ROW($N27)-RSI_Periods +1, MATCH("Upmove", Price_Header,0))): INDIRECT(ADDRESS(ROW($N27),MATCH("Upmove", Price_Header,0)))))</f>
        <v>0.31499964285714455</v>
      </c>
      <c r="Q27" s="46">
        <f ca="1">IF(ROW($O27)-5&lt;RSI_Periods, "", AVERAGE(INDIRECT(ADDRESS(ROW($O27)-RSI_Periods +1, MATCH("Downmove", Price_Header,0))): INDIRECT(ADDRESS(ROW($O27),MATCH("Downmove", Price_Header,0)))))</f>
        <v>0.79071364285714396</v>
      </c>
      <c r="R27" s="46">
        <f ca="1">IF(tbl_CVX[[#This Row],[Avg_Upmove]]="", "", tbl_CVX[[#This Row],[Avg_Upmove]]/tbl_CVX[[#This Row],[Avg_Downmove]])</f>
        <v>0.39837385594983932</v>
      </c>
      <c r="S27" s="10">
        <f ca="1">IF(ROW($N27)-4&lt;BB_Periods, "", _xlfn.STDEV.S(INDIRECT(ADDRESS(ROW($F27)-RSI_Periods +1, MATCH("Adj Close", Price_Header,0))): INDIRECT(ADDRESS(ROW($F27),MATCH("Adj Close", Price_Header,0)))))</f>
        <v>2.715744561598346</v>
      </c>
    </row>
    <row r="28" spans="1:19" x14ac:dyDescent="0.35">
      <c r="A28" s="8">
        <v>44085</v>
      </c>
      <c r="B28" s="10">
        <v>78.239998</v>
      </c>
      <c r="C28" s="10">
        <v>78.690002000000007</v>
      </c>
      <c r="D28" s="10">
        <v>77.069999999999993</v>
      </c>
      <c r="E28" s="10">
        <v>77.690002000000007</v>
      </c>
      <c r="F28" s="10">
        <v>77.690002000000007</v>
      </c>
      <c r="G28">
        <v>13732400</v>
      </c>
      <c r="H28" s="10">
        <f>IF(tbl_CVX[[#This Row],[Date]]=$A$5, $F28, EMA_Beta*$H27 + (1-EMA_Beta)*$F28)</f>
        <v>82.936838215388008</v>
      </c>
      <c r="I28" s="46">
        <f ca="1">IF(tbl_CVX[[#This Row],[RS]]= "", "", 100-(100/(1+tbl_CVX[[#This Row],[RS]])))</f>
        <v>26.41988357102143</v>
      </c>
      <c r="J28" s="10">
        <f ca="1">IF(ROW($N28)-4&lt;BB_Periods, "", AVERAGE(INDIRECT(ADDRESS(ROW($F28)-RSI_Periods +1, MATCH("Adj Close", Price_Header,0))): INDIRECT(ADDRESS(ROW($F28),MATCH("Adj Close", Price_Header,0)))))</f>
        <v>82.707142928571443</v>
      </c>
      <c r="K28" s="10">
        <f ca="1">IF(tbl_CVX[[#This Row],[BB_Mean]]="", "", tbl_CVX[[#This Row],[BB_Mean]]+(BB_Width*tbl_CVX[[#This Row],[BB_Stdev]]))</f>
        <v>88.766353286367192</v>
      </c>
      <c r="L28" s="10">
        <f ca="1">IF(tbl_CVX[[#This Row],[BB_Mean]]="", "", tbl_CVX[[#This Row],[BB_Mean]]-(BB_Width*tbl_CVX[[#This Row],[BB_Stdev]]))</f>
        <v>76.647932570775694</v>
      </c>
      <c r="M28" s="46">
        <f>IF(ROW(tbl_CVX[[#This Row],[Adj Close]])=5, 0, $F28-$F27)</f>
        <v>-0.45999999999999375</v>
      </c>
      <c r="N28" s="46">
        <f>MAX(tbl_CVX[[#This Row],[Move]],0)</f>
        <v>0</v>
      </c>
      <c r="O28" s="46">
        <f>MAX(-tbl_CVX[[#This Row],[Move]],0)</f>
        <v>0.45999999999999375</v>
      </c>
      <c r="P28" s="46">
        <f ca="1">IF(ROW($N28)-5&lt;RSI_Periods, "", AVERAGE(INDIRECT(ADDRESS(ROW($N28)-RSI_Periods +1, MATCH("Upmove", Price_Header,0))): INDIRECT(ADDRESS(ROW($N28),MATCH("Upmove", Price_Header,0)))))</f>
        <v>0.29571364285714452</v>
      </c>
      <c r="Q28" s="46">
        <f ca="1">IF(ROW($O28)-5&lt;RSI_Periods, "", AVERAGE(INDIRECT(ADDRESS(ROW($O28)-RSI_Periods +1, MATCH("Downmove", Price_Header,0))): INDIRECT(ADDRESS(ROW($O28),MATCH("Downmove", Price_Header,0)))))</f>
        <v>0.82357078571428644</v>
      </c>
      <c r="R28" s="46">
        <f ca="1">IF(tbl_CVX[[#This Row],[Avg_Upmove]]="", "", tbl_CVX[[#This Row],[Avg_Upmove]]/tbl_CVX[[#This Row],[Avg_Downmove]])</f>
        <v>0.35906281279838115</v>
      </c>
      <c r="S28" s="10">
        <f ca="1">IF(ROW($N28)-4&lt;BB_Periods, "", _xlfn.STDEV.S(INDIRECT(ADDRESS(ROW($F28)-RSI_Periods +1, MATCH("Adj Close", Price_Header,0))): INDIRECT(ADDRESS(ROW($F28),MATCH("Adj Close", Price_Header,0)))))</f>
        <v>3.0296051788978771</v>
      </c>
    </row>
    <row r="29" spans="1:19" x14ac:dyDescent="0.35">
      <c r="A29" s="8">
        <v>44088</v>
      </c>
      <c r="B29" s="10">
        <v>77.480002999999996</v>
      </c>
      <c r="C29" s="10">
        <v>77.980002999999996</v>
      </c>
      <c r="D29" s="10">
        <v>76.919998000000007</v>
      </c>
      <c r="E29" s="10">
        <v>77.290001000000004</v>
      </c>
      <c r="F29" s="10">
        <v>77.290001000000004</v>
      </c>
      <c r="G29">
        <v>8182800</v>
      </c>
      <c r="H29" s="10">
        <f>IF(tbl_CVX[[#This Row],[Date]]=$A$5, $F29, EMA_Beta*$H28 + (1-EMA_Beta)*$F29)</f>
        <v>82.372154493849209</v>
      </c>
      <c r="I29" s="46">
        <f ca="1">IF(tbl_CVX[[#This Row],[RS]]= "", "", 100-(100/(1+tbl_CVX[[#This Row],[RS]])))</f>
        <v>14.480270520662927</v>
      </c>
      <c r="J29" s="10">
        <f ca="1">IF(ROW($N29)-4&lt;BB_Periods, "", AVERAGE(INDIRECT(ADDRESS(ROW($F29)-RSI_Periods +1, MATCH("Adj Close", Price_Header,0))): INDIRECT(ADDRESS(ROW($F29),MATCH("Adj Close", Price_Header,0)))))</f>
        <v>81.999286071428557</v>
      </c>
      <c r="K29" s="10">
        <f ca="1">IF(tbl_CVX[[#This Row],[BB_Mean]]="", "", tbl_CVX[[#This Row],[BB_Mean]]+(BB_Width*tbl_CVX[[#This Row],[BB_Stdev]]))</f>
        <v>88.11271211238612</v>
      </c>
      <c r="L29" s="10">
        <f ca="1">IF(tbl_CVX[[#This Row],[BB_Mean]]="", "", tbl_CVX[[#This Row],[BB_Mean]]-(BB_Width*tbl_CVX[[#This Row],[BB_Stdev]]))</f>
        <v>75.885860030470994</v>
      </c>
      <c r="M29" s="46">
        <f>IF(ROW(tbl_CVX[[#This Row],[Adj Close]])=5, 0, $F29-$F28)</f>
        <v>-0.40000100000000316</v>
      </c>
      <c r="N29" s="46">
        <f>MAX(tbl_CVX[[#This Row],[Move]],0)</f>
        <v>0</v>
      </c>
      <c r="O29" s="46">
        <f>MAX(-tbl_CVX[[#This Row],[Move]],0)</f>
        <v>0.40000100000000316</v>
      </c>
      <c r="P29" s="46">
        <f ca="1">IF(ROW($N29)-5&lt;RSI_Periods, "", AVERAGE(INDIRECT(ADDRESS(ROW($N29)-RSI_Periods +1, MATCH("Upmove", Price_Header,0))): INDIRECT(ADDRESS(ROW($N29),MATCH("Upmove", Price_Header,0)))))</f>
        <v>0.14428542857143004</v>
      </c>
      <c r="Q29" s="46">
        <f ca="1">IF(ROW($O29)-5&lt;RSI_Periods, "", AVERAGE(INDIRECT(ADDRESS(ROW($O29)-RSI_Periods +1, MATCH("Downmove", Price_Header,0))): INDIRECT(ADDRESS(ROW($O29),MATCH("Downmove", Price_Header,0)))))</f>
        <v>0.85214228571428663</v>
      </c>
      <c r="R29" s="46">
        <f ca="1">IF(tbl_CVX[[#This Row],[Avg_Upmove]]="", "", tbl_CVX[[#This Row],[Avg_Upmove]]/tbl_CVX[[#This Row],[Avg_Downmove]])</f>
        <v>0.16932081765017262</v>
      </c>
      <c r="S29" s="10">
        <f ca="1">IF(ROW($N29)-4&lt;BB_Periods, "", _xlfn.STDEV.S(INDIRECT(ADDRESS(ROW($F29)-RSI_Periods +1, MATCH("Adj Close", Price_Header,0))): INDIRECT(ADDRESS(ROW($F29),MATCH("Adj Close", Price_Header,0)))))</f>
        <v>3.0567130204787847</v>
      </c>
    </row>
    <row r="30" spans="1:19" x14ac:dyDescent="0.35">
      <c r="A30" s="8">
        <v>44089</v>
      </c>
      <c r="B30" s="10">
        <v>77.559997999999993</v>
      </c>
      <c r="C30" s="10">
        <v>78.480002999999996</v>
      </c>
      <c r="D30" s="10">
        <v>75.959998999999996</v>
      </c>
      <c r="E30" s="10">
        <v>76.349997999999999</v>
      </c>
      <c r="F30" s="10">
        <v>76.349997999999999</v>
      </c>
      <c r="G30">
        <v>11732000</v>
      </c>
      <c r="H30" s="10">
        <f>IF(tbl_CVX[[#This Row],[Date]]=$A$5, $F30, EMA_Beta*$H29 + (1-EMA_Beta)*$F30)</f>
        <v>81.769938844464292</v>
      </c>
      <c r="I30" s="46">
        <f ca="1">IF(tbl_CVX[[#This Row],[RS]]= "", "", 100-(100/(1+tbl_CVX[[#This Row],[RS]])))</f>
        <v>14.616478404363747</v>
      </c>
      <c r="J30" s="10">
        <f ca="1">IF(ROW($N30)-4&lt;BB_Periods, "", AVERAGE(INDIRECT(ADDRESS(ROW($F30)-RSI_Periods +1, MATCH("Adj Close", Price_Header,0))): INDIRECT(ADDRESS(ROW($F30),MATCH("Adj Close", Price_Header,0)))))</f>
        <v>81.300714714285704</v>
      </c>
      <c r="K30" s="10">
        <f ca="1">IF(tbl_CVX[[#This Row],[BB_Mean]]="", "", tbl_CVX[[#This Row],[BB_Mean]]+(BB_Width*tbl_CVX[[#This Row],[BB_Stdev]]))</f>
        <v>87.612732168893018</v>
      </c>
      <c r="L30" s="10">
        <f ca="1">IF(tbl_CVX[[#This Row],[BB_Mean]]="", "", tbl_CVX[[#This Row],[BB_Mean]]-(BB_Width*tbl_CVX[[#This Row],[BB_Stdev]]))</f>
        <v>74.988697259678389</v>
      </c>
      <c r="M30" s="46">
        <f>IF(ROW(tbl_CVX[[#This Row],[Adj Close]])=5, 0, $F30-$F29)</f>
        <v>-0.94000300000000436</v>
      </c>
      <c r="N30" s="46">
        <f>MAX(tbl_CVX[[#This Row],[Move]],0)</f>
        <v>0</v>
      </c>
      <c r="O30" s="46">
        <f>MAX(-tbl_CVX[[#This Row],[Move]],0)</f>
        <v>0.94000300000000436</v>
      </c>
      <c r="P30" s="46">
        <f ca="1">IF(ROW($N30)-5&lt;RSI_Periods, "", AVERAGE(INDIRECT(ADDRESS(ROW($N30)-RSI_Periods +1, MATCH("Upmove", Price_Header,0))): INDIRECT(ADDRESS(ROW($N30),MATCH("Upmove", Price_Header,0)))))</f>
        <v>0.14428542857143004</v>
      </c>
      <c r="Q30" s="46">
        <f ca="1">IF(ROW($O30)-5&lt;RSI_Periods, "", AVERAGE(INDIRECT(ADDRESS(ROW($O30)-RSI_Periods +1, MATCH("Downmove", Price_Header,0))): INDIRECT(ADDRESS(ROW($O30),MATCH("Downmove", Price_Header,0)))))</f>
        <v>0.84285678571428746</v>
      </c>
      <c r="R30" s="46">
        <f ca="1">IF(tbl_CVX[[#This Row],[Avg_Upmove]]="", "", tbl_CVX[[#This Row],[Avg_Upmove]]/tbl_CVX[[#This Row],[Avg_Downmove]])</f>
        <v>0.17118617423143115</v>
      </c>
      <c r="S30" s="10">
        <f ca="1">IF(ROW($N30)-4&lt;BB_Periods, "", _xlfn.STDEV.S(INDIRECT(ADDRESS(ROW($F30)-RSI_Periods +1, MATCH("Adj Close", Price_Header,0))): INDIRECT(ADDRESS(ROW($F30),MATCH("Adj Close", Price_Header,0)))))</f>
        <v>3.1560087273036554</v>
      </c>
    </row>
    <row r="31" spans="1:19" x14ac:dyDescent="0.35">
      <c r="A31" s="8">
        <v>44090</v>
      </c>
      <c r="B31" s="10">
        <v>76.349997999999999</v>
      </c>
      <c r="C31" s="10">
        <v>79.480002999999996</v>
      </c>
      <c r="D31" s="10">
        <v>75.959998999999996</v>
      </c>
      <c r="E31" s="10">
        <v>78.559997999999993</v>
      </c>
      <c r="F31" s="10">
        <v>78.559997999999993</v>
      </c>
      <c r="G31">
        <v>13019000</v>
      </c>
      <c r="H31" s="10">
        <f>IF(tbl_CVX[[#This Row],[Date]]=$A$5, $F31, EMA_Beta*$H30 + (1-EMA_Beta)*$F31)</f>
        <v>81.448944760017852</v>
      </c>
      <c r="I31" s="46">
        <f ca="1">IF(tbl_CVX[[#This Row],[RS]]= "", "", 100-(100/(1+tbl_CVX[[#This Row],[RS]])))</f>
        <v>28.814700388481128</v>
      </c>
      <c r="J31" s="10">
        <f ca="1">IF(ROW($N31)-4&lt;BB_Periods, "", AVERAGE(INDIRECT(ADDRESS(ROW($F31)-RSI_Periods +1, MATCH("Adj Close", Price_Header,0))): INDIRECT(ADDRESS(ROW($F31),MATCH("Adj Close", Price_Header,0)))))</f>
        <v>80.856428928571418</v>
      </c>
      <c r="K31" s="10">
        <f ca="1">IF(tbl_CVX[[#This Row],[BB_Mean]]="", "", tbl_CVX[[#This Row],[BB_Mean]]+(BB_Width*tbl_CVX[[#This Row],[BB_Stdev]]))</f>
        <v>86.986499453058116</v>
      </c>
      <c r="L31" s="10">
        <f ca="1">IF(tbl_CVX[[#This Row],[BB_Mean]]="", "", tbl_CVX[[#This Row],[BB_Mean]]-(BB_Width*tbl_CVX[[#This Row],[BB_Stdev]]))</f>
        <v>74.726358404084721</v>
      </c>
      <c r="M31" s="46">
        <f>IF(ROW(tbl_CVX[[#This Row],[Adj Close]])=5, 0, $F31-$F30)</f>
        <v>2.2099999999999937</v>
      </c>
      <c r="N31" s="46">
        <f>MAX(tbl_CVX[[#This Row],[Move]],0)</f>
        <v>2.2099999999999937</v>
      </c>
      <c r="O31" s="46">
        <f>MAX(-tbl_CVX[[#This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0.30214257142857243</v>
      </c>
      <c r="Q31" s="46">
        <f ca="1">IF(ROW($O31)-5&lt;RSI_Periods, "", AVERAGE(INDIRECT(ADDRESS(ROW($O31)-RSI_Periods +1, MATCH("Downmove", Price_Header,0))): INDIRECT(ADDRESS(ROW($O31),MATCH("Downmove", Price_Header,0)))))</f>
        <v>0.74642835714285893</v>
      </c>
      <c r="R31" s="46">
        <f ca="1">IF(tbl_CVX[[#This Row],[Avg_Upmove]]="", "", tbl_CVX[[#This Row],[Avg_Upmove]]/tbl_CVX[[#This Row],[Avg_Downmove]])</f>
        <v>0.40478442242615037</v>
      </c>
      <c r="S31" s="10">
        <f ca="1">IF(ROW($N31)-4&lt;BB_Periods, "", _xlfn.STDEV.S(INDIRECT(ADDRESS(ROW($F31)-RSI_Periods +1, MATCH("Adj Close", Price_Header,0))): INDIRECT(ADDRESS(ROW($F31),MATCH("Adj Close", Price_Header,0)))))</f>
        <v>3.0650352622433488</v>
      </c>
    </row>
    <row r="32" spans="1:19" x14ac:dyDescent="0.35">
      <c r="A32" s="8">
        <v>44091</v>
      </c>
      <c r="B32" s="10">
        <v>77.529999000000004</v>
      </c>
      <c r="C32" s="10">
        <v>78.849997999999999</v>
      </c>
      <c r="D32" s="10">
        <v>76.370002999999997</v>
      </c>
      <c r="E32" s="10">
        <v>78.790001000000004</v>
      </c>
      <c r="F32" s="10">
        <v>78.790001000000004</v>
      </c>
      <c r="G32">
        <v>10515100</v>
      </c>
      <c r="H32" s="10">
        <f>IF(tbl_CVX[[#This Row],[Date]]=$A$5, $F32, EMA_Beta*$H31 + (1-EMA_Beta)*$F32)</f>
        <v>81.18305038401607</v>
      </c>
      <c r="I32" s="46">
        <f ca="1">IF(tbl_CVX[[#This Row],[RS]]= "", "", 100-(100/(1+tbl_CVX[[#This Row],[RS]])))</f>
        <v>29.296323658113266</v>
      </c>
      <c r="J32" s="10">
        <f ca="1">IF(ROW($N32)-4&lt;BB_Periods, "", AVERAGE(INDIRECT(ADDRESS(ROW($F32)-RSI_Periods +1, MATCH("Adj Close", Price_Header,0))): INDIRECT(ADDRESS(ROW($F32),MATCH("Adj Close", Price_Header,0)))))</f>
        <v>80.419285857142867</v>
      </c>
      <c r="K32" s="10">
        <f ca="1">IF(tbl_CVX[[#This Row],[BB_Mean]]="", "", tbl_CVX[[#This Row],[BB_Mean]]+(BB_Width*tbl_CVX[[#This Row],[BB_Stdev]]))</f>
        <v>86.164948346361285</v>
      </c>
      <c r="L32" s="10">
        <f ca="1">IF(tbl_CVX[[#This Row],[BB_Mean]]="", "", tbl_CVX[[#This Row],[BB_Mean]]-(BB_Width*tbl_CVX[[#This Row],[BB_Stdev]]))</f>
        <v>74.673623367924449</v>
      </c>
      <c r="M32" s="46">
        <f>IF(ROW(tbl_CVX[[#This Row],[Adj Close]])=5, 0, $F32-$F31)</f>
        <v>0.23000300000001062</v>
      </c>
      <c r="N32" s="46">
        <f>MAX(tbl_CVX[[#This Row],[Move]],0)</f>
        <v>0.23000300000001062</v>
      </c>
      <c r="O32" s="46">
        <f>MAX(-tbl_CVX[[#This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0.30928528571428771</v>
      </c>
      <c r="Q32" s="46">
        <f ca="1">IF(ROW($O32)-5&lt;RSI_Periods, "", AVERAGE(INDIRECT(ADDRESS(ROW($O32)-RSI_Periods +1, MATCH("Downmove", Price_Header,0))): INDIRECT(ADDRESS(ROW($O32),MATCH("Downmove", Price_Header,0)))))</f>
        <v>0.74642835714285893</v>
      </c>
      <c r="R32" s="46">
        <f ca="1">IF(tbl_CVX[[#This Row],[Avg_Upmove]]="", "", tbl_CVX[[#This Row],[Avg_Upmove]]/tbl_CVX[[#This Row],[Avg_Downmove]])</f>
        <v>0.41435361177615815</v>
      </c>
      <c r="S32" s="10">
        <f ca="1">IF(ROW($N32)-4&lt;BB_Periods, "", _xlfn.STDEV.S(INDIRECT(ADDRESS(ROW($F32)-RSI_Periods +1, MATCH("Adj Close", Price_Header,0))): INDIRECT(ADDRESS(ROW($F32),MATCH("Adj Close", Price_Header,0)))))</f>
        <v>2.8728312446092104</v>
      </c>
    </row>
    <row r="33" spans="1:19" x14ac:dyDescent="0.35">
      <c r="A33" s="8">
        <v>44092</v>
      </c>
      <c r="B33" s="10">
        <v>77.879997000000003</v>
      </c>
      <c r="C33" s="10">
        <v>79.150002000000001</v>
      </c>
      <c r="D33" s="10">
        <v>77.5</v>
      </c>
      <c r="E33" s="10">
        <v>78.209998999999996</v>
      </c>
      <c r="F33" s="10">
        <v>78.209998999999996</v>
      </c>
      <c r="G33">
        <v>14517800</v>
      </c>
      <c r="H33" s="10">
        <f>IF(tbl_CVX[[#This Row],[Date]]=$A$5, $F33, EMA_Beta*$H32 + (1-EMA_Beta)*$F33)</f>
        <v>80.885745245614473</v>
      </c>
      <c r="I33" s="46">
        <f ca="1">IF(tbl_CVX[[#This Row],[RS]]= "", "", 100-(100/(1+tbl_CVX[[#This Row],[RS]])))</f>
        <v>24.658476775956359</v>
      </c>
      <c r="J33" s="10">
        <f ca="1">IF(ROW($N33)-4&lt;BB_Periods, "", AVERAGE(INDIRECT(ADDRESS(ROW($F33)-RSI_Periods +1, MATCH("Adj Close", Price_Header,0))): INDIRECT(ADDRESS(ROW($F33),MATCH("Adj Close", Price_Header,0)))))</f>
        <v>79.889285999999984</v>
      </c>
      <c r="K33" s="10">
        <f ca="1">IF(tbl_CVX[[#This Row],[BB_Mean]]="", "", tbl_CVX[[#This Row],[BB_Mean]]+(BB_Width*tbl_CVX[[#This Row],[BB_Stdev]]))</f>
        <v>84.884296174868695</v>
      </c>
      <c r="L33" s="10">
        <f ca="1">IF(tbl_CVX[[#This Row],[BB_Mean]]="", "", tbl_CVX[[#This Row],[BB_Mean]]-(BB_Width*tbl_CVX[[#This Row],[BB_Stdev]]))</f>
        <v>74.894275825131274</v>
      </c>
      <c r="M33" s="46">
        <f>IF(ROW(tbl_CVX[[#This Row],[Adj Close]])=5, 0, $F33-$F32)</f>
        <v>-0.58000200000000746</v>
      </c>
      <c r="N33" s="46">
        <f>MAX(tbl_CVX[[#This Row],[Move]],0)</f>
        <v>0</v>
      </c>
      <c r="O33" s="46">
        <f>MAX(-tbl_CVX[[#This Row],[Move]],0)</f>
        <v>0.58000200000000746</v>
      </c>
      <c r="P33" s="46">
        <f ca="1">IF(ROW($N33)-5&lt;RSI_Periods, "", AVERAGE(INDIRECT(ADDRESS(ROW($N33)-RSI_Periods +1, MATCH("Upmove", Price_Header,0))): INDIRECT(ADDRESS(ROW($N33),MATCH("Upmove", Price_Header,0)))))</f>
        <v>0.25785721428571612</v>
      </c>
      <c r="Q33" s="46">
        <f ca="1">IF(ROW($O33)-5&lt;RSI_Periods, "", AVERAGE(INDIRECT(ADDRESS(ROW($O33)-RSI_Periods +1, MATCH("Downmove", Price_Header,0))): INDIRECT(ADDRESS(ROW($O33),MATCH("Downmove", Price_Header,0)))))</f>
        <v>0.78785707142857375</v>
      </c>
      <c r="R33" s="46">
        <f ca="1">IF(tbl_CVX[[#This Row],[Avg_Upmove]]="", "", tbl_CVX[[#This Row],[Avg_Upmove]]/tbl_CVX[[#This Row],[Avg_Downmove]])</f>
        <v>0.32728933157654999</v>
      </c>
      <c r="S33" s="10">
        <f ca="1">IF(ROW($N33)-4&lt;BB_Periods, "", _xlfn.STDEV.S(INDIRECT(ADDRESS(ROW($F33)-RSI_Periods +1, MATCH("Adj Close", Price_Header,0))): INDIRECT(ADDRESS(ROW($F33),MATCH("Adj Close", Price_Header,0)))))</f>
        <v>2.4975050874343521</v>
      </c>
    </row>
    <row r="34" spans="1:19" x14ac:dyDescent="0.35">
      <c r="A34" s="8">
        <v>44095</v>
      </c>
      <c r="B34" s="10">
        <v>76.239998</v>
      </c>
      <c r="C34" s="10">
        <v>76.650002000000001</v>
      </c>
      <c r="D34" s="10">
        <v>74.680000000000007</v>
      </c>
      <c r="E34" s="10">
        <v>76.300003000000004</v>
      </c>
      <c r="F34" s="10">
        <v>76.300003000000004</v>
      </c>
      <c r="G34">
        <v>16199100</v>
      </c>
      <c r="H34" s="10">
        <f>IF(tbl_CVX[[#This Row],[Date]]=$A$5, $F34, EMA_Beta*$H33 + (1-EMA_Beta)*$F34)</f>
        <v>80.427171021053027</v>
      </c>
      <c r="I34" s="46">
        <f ca="1">IF(tbl_CVX[[#This Row],[RS]]= "", "", 100-(100/(1+tbl_CVX[[#This Row],[RS]])))</f>
        <v>24.309772680792861</v>
      </c>
      <c r="J34" s="10">
        <f ca="1">IF(ROW($N34)-4&lt;BB_Periods, "", AVERAGE(INDIRECT(ADDRESS(ROW($F34)-RSI_Periods +1, MATCH("Adj Close", Price_Header,0))): INDIRECT(ADDRESS(ROW($F34),MATCH("Adj Close", Price_Header,0)))))</f>
        <v>79.344286214285717</v>
      </c>
      <c r="K34" s="10">
        <f ca="1">IF(tbl_CVX[[#This Row],[BB_Mean]]="", "", tbl_CVX[[#This Row],[BB_Mean]]+(BB_Width*tbl_CVX[[#This Row],[BB_Stdev]]))</f>
        <v>84.09936924994922</v>
      </c>
      <c r="L34" s="10">
        <f ca="1">IF(tbl_CVX[[#This Row],[BB_Mean]]="", "", tbl_CVX[[#This Row],[BB_Mean]]-(BB_Width*tbl_CVX[[#This Row],[BB_Stdev]]))</f>
        <v>74.589203178622213</v>
      </c>
      <c r="M34" s="46">
        <f>IF(ROW(tbl_CVX[[#This Row],[Adj Close]])=5, 0, $F34-$F33)</f>
        <v>-1.9099959999999925</v>
      </c>
      <c r="N34" s="46">
        <f>MAX(tbl_CVX[[#This Row],[Move]],0)</f>
        <v>0</v>
      </c>
      <c r="O34" s="46">
        <f>MAX(-tbl_CVX[[#This Row],[Move]],0)</f>
        <v>1.9099959999999925</v>
      </c>
      <c r="P34" s="46">
        <f ca="1">IF(ROW($N34)-5&lt;RSI_Periods, "", AVERAGE(INDIRECT(ADDRESS(ROW($N34)-RSI_Periods +1, MATCH("Upmove", Price_Header,0))): INDIRECT(ADDRESS(ROW($N34),MATCH("Upmove", Price_Header,0)))))</f>
        <v>0.25785721428571612</v>
      </c>
      <c r="Q34" s="46">
        <f ca="1">IF(ROW($O34)-5&lt;RSI_Periods, "", AVERAGE(INDIRECT(ADDRESS(ROW($O34)-RSI_Periods +1, MATCH("Downmove", Price_Header,0))): INDIRECT(ADDRESS(ROW($O34),MATCH("Downmove", Price_Header,0)))))</f>
        <v>0.80285700000000204</v>
      </c>
      <c r="R34" s="46">
        <f ca="1">IF(tbl_CVX[[#This Row],[Avg_Upmove]]="", "", tbl_CVX[[#This Row],[Avg_Upmove]]/tbl_CVX[[#This Row],[Avg_Downmove]])</f>
        <v>0.32117452334066399</v>
      </c>
      <c r="S34" s="10">
        <f ca="1">IF(ROW($N34)-4&lt;BB_Periods, "", _xlfn.STDEV.S(INDIRECT(ADDRESS(ROW($F34)-RSI_Periods +1, MATCH("Adj Close", Price_Header,0))): INDIRECT(ADDRESS(ROW($F34),MATCH("Adj Close", Price_Header,0)))))</f>
        <v>2.3775415178317543</v>
      </c>
    </row>
    <row r="35" spans="1:19" x14ac:dyDescent="0.35">
      <c r="A35" s="8">
        <v>44096</v>
      </c>
      <c r="B35" s="10">
        <v>76.150002000000001</v>
      </c>
      <c r="C35" s="10">
        <v>77.529999000000004</v>
      </c>
      <c r="D35" s="10">
        <v>75.349997999999999</v>
      </c>
      <c r="E35" s="10">
        <v>75.529999000000004</v>
      </c>
      <c r="F35" s="10">
        <v>75.529999000000004</v>
      </c>
      <c r="G35">
        <v>9155000</v>
      </c>
      <c r="H35" s="10">
        <f>IF(tbl_CVX[[#This Row],[Date]]=$A$5, $F35, EMA_Beta*$H34 + (1-EMA_Beta)*$F35)</f>
        <v>79.937453818947731</v>
      </c>
      <c r="I35" s="46">
        <f ca="1">IF(tbl_CVX[[#This Row],[RS]]= "", "", 100-(100/(1+tbl_CVX[[#This Row],[RS]])))</f>
        <v>24.441433838377279</v>
      </c>
      <c r="J35" s="10">
        <f ca="1">IF(ROW($N35)-4&lt;BB_Periods, "", AVERAGE(INDIRECT(ADDRESS(ROW($F35)-RSI_Periods +1, MATCH("Adj Close", Price_Header,0))): INDIRECT(ADDRESS(ROW($F35),MATCH("Adj Close", Price_Header,0)))))</f>
        <v>78.805000285714286</v>
      </c>
      <c r="K35" s="10">
        <f ca="1">IF(tbl_CVX[[#This Row],[BB_Mean]]="", "", tbl_CVX[[#This Row],[BB_Mean]]+(BB_Width*tbl_CVX[[#This Row],[BB_Stdev]]))</f>
        <v>83.446178910557663</v>
      </c>
      <c r="L35" s="10">
        <f ca="1">IF(tbl_CVX[[#This Row],[BB_Mean]]="", "", tbl_CVX[[#This Row],[BB_Mean]]-(BB_Width*tbl_CVX[[#This Row],[BB_Stdev]]))</f>
        <v>74.163821660870909</v>
      </c>
      <c r="M35" s="46">
        <f>IF(ROW(tbl_CVX[[#This Row],[Adj Close]])=5, 0, $F35-$F34)</f>
        <v>-0.77000400000000013</v>
      </c>
      <c r="N35" s="46">
        <f>MAX(tbl_CVX[[#This Row],[Move]],0)</f>
        <v>0</v>
      </c>
      <c r="O35" s="46">
        <f>MAX(-tbl_CVX[[#This Row],[Move]],0)</f>
        <v>0.77000400000000013</v>
      </c>
      <c r="P35" s="46">
        <f ca="1">IF(ROW($N35)-5&lt;RSI_Periods, "", AVERAGE(INDIRECT(ADDRESS(ROW($N35)-RSI_Periods +1, MATCH("Upmove", Price_Header,0))): INDIRECT(ADDRESS(ROW($N35),MATCH("Upmove", Price_Header,0)))))</f>
        <v>0.25785721428571612</v>
      </c>
      <c r="Q35" s="46">
        <f ca="1">IF(ROW($O35)-5&lt;RSI_Periods, "", AVERAGE(INDIRECT(ADDRESS(ROW($O35)-RSI_Periods +1, MATCH("Downmove", Price_Header,0))): INDIRECT(ADDRESS(ROW($O35),MATCH("Downmove", Price_Header,0)))))</f>
        <v>0.79714314285714394</v>
      </c>
      <c r="R35" s="46">
        <f ca="1">IF(tbl_CVX[[#This Row],[Avg_Upmove]]="", "", tbl_CVX[[#This Row],[Avg_Upmove]]/tbl_CVX[[#This Row],[Avg_Downmove]])</f>
        <v>0.32347667617323622</v>
      </c>
      <c r="S35" s="10">
        <f ca="1">IF(ROW($N35)-4&lt;BB_Periods, "", _xlfn.STDEV.S(INDIRECT(ADDRESS(ROW($F35)-RSI_Periods +1, MATCH("Adj Close", Price_Header,0))): INDIRECT(ADDRESS(ROW($F35),MATCH("Adj Close", Price_Header,0)))))</f>
        <v>2.3205893124216881</v>
      </c>
    </row>
    <row r="36" spans="1:19" x14ac:dyDescent="0.35">
      <c r="A36" s="8">
        <v>44097</v>
      </c>
      <c r="B36" s="10">
        <v>75.589995999999999</v>
      </c>
      <c r="C36" s="10">
        <v>75.910004000000001</v>
      </c>
      <c r="D36" s="10">
        <v>71.849997999999999</v>
      </c>
      <c r="E36" s="10">
        <v>71.949996999999996</v>
      </c>
      <c r="F36" s="10">
        <v>71.949996999999996</v>
      </c>
      <c r="G36">
        <v>16649200</v>
      </c>
      <c r="H36" s="10">
        <f>IF(tbl_CVX[[#This Row],[Date]]=$A$5, $F36, EMA_Beta*$H35 + (1-EMA_Beta)*$F36)</f>
        <v>79.138708137052959</v>
      </c>
      <c r="I36" s="46">
        <f ca="1">IF(tbl_CVX[[#This Row],[RS]]= "", "", 100-(100/(1+tbl_CVX[[#This Row],[RS]])))</f>
        <v>19.188594609640262</v>
      </c>
      <c r="J36" s="10">
        <f ca="1">IF(ROW($N36)-4&lt;BB_Periods, "", AVERAGE(INDIRECT(ADDRESS(ROW($F36)-RSI_Periods +1, MATCH("Adj Close", Price_Header,0))): INDIRECT(ADDRESS(ROW($F36),MATCH("Adj Close", Price_Header,0)))))</f>
        <v>78.002142785714298</v>
      </c>
      <c r="K36" s="10">
        <f ca="1">IF(tbl_CVX[[#This Row],[BB_Mean]]="", "", tbl_CVX[[#This Row],[BB_Mean]]+(BB_Width*tbl_CVX[[#This Row],[BB_Stdev]]))</f>
        <v>83.227685364494988</v>
      </c>
      <c r="L36" s="10">
        <f ca="1">IF(tbl_CVX[[#This Row],[BB_Mean]]="", "", tbl_CVX[[#This Row],[BB_Mean]]-(BB_Width*tbl_CVX[[#This Row],[BB_Stdev]]))</f>
        <v>72.776600206933608</v>
      </c>
      <c r="M36" s="46">
        <f>IF(ROW(tbl_CVX[[#This Row],[Adj Close]])=5, 0, $F36-$F35)</f>
        <v>-3.5800020000000075</v>
      </c>
      <c r="N36" s="46">
        <f>MAX(tbl_CVX[[#This Row],[Move]],0)</f>
        <v>0</v>
      </c>
      <c r="O36" s="46">
        <f>MAX(-tbl_CVX[[#This Row],[Move]],0)</f>
        <v>3.5800020000000075</v>
      </c>
      <c r="P36" s="46">
        <f ca="1">IF(ROW($N36)-5&lt;RSI_Periods, "", AVERAGE(INDIRECT(ADDRESS(ROW($N36)-RSI_Periods +1, MATCH("Upmove", Price_Header,0))): INDIRECT(ADDRESS(ROW($N36),MATCH("Upmove", Price_Header,0)))))</f>
        <v>0.25000007142857228</v>
      </c>
      <c r="Q36" s="46">
        <f ca="1">IF(ROW($O36)-5&lt;RSI_Periods, "", AVERAGE(INDIRECT(ADDRESS(ROW($O36)-RSI_Periods +1, MATCH("Downmove", Price_Header,0))): INDIRECT(ADDRESS(ROW($O36),MATCH("Downmove", Price_Header,0)))))</f>
        <v>1.0528575714285731</v>
      </c>
      <c r="R36" s="46">
        <f ca="1">IF(tbl_CVX[[#This Row],[Avg_Upmove]]="", "", tbl_CVX[[#This Row],[Avg_Upmove]]/tbl_CVX[[#This Row],[Avg_Downmove]])</f>
        <v>0.23744908923374974</v>
      </c>
      <c r="S36" s="10">
        <f ca="1">IF(ROW($N36)-4&lt;BB_Periods, "", _xlfn.STDEV.S(INDIRECT(ADDRESS(ROW($F36)-RSI_Periods +1, MATCH("Adj Close", Price_Header,0))): INDIRECT(ADDRESS(ROW($F36),MATCH("Adj Close", Price_Header,0)))))</f>
        <v>2.6127712893903468</v>
      </c>
    </row>
    <row r="37" spans="1:19" x14ac:dyDescent="0.35">
      <c r="A37" s="8">
        <v>44098</v>
      </c>
      <c r="B37" s="10">
        <v>71.25</v>
      </c>
      <c r="C37" s="10">
        <v>73.029999000000004</v>
      </c>
      <c r="D37" s="10">
        <v>70.5</v>
      </c>
      <c r="E37" s="10">
        <v>71.800003000000004</v>
      </c>
      <c r="F37" s="10">
        <v>71.800003000000004</v>
      </c>
      <c r="G37">
        <v>15203500</v>
      </c>
      <c r="H37" s="10">
        <f>IF(tbl_CVX[[#This Row],[Date]]=$A$5, $F37, EMA_Beta*$H36 + (1-EMA_Beta)*$F37)</f>
        <v>78.404837623347674</v>
      </c>
      <c r="I37" s="46">
        <f ca="1">IF(tbl_CVX[[#This Row],[RS]]= "", "", 100-(100/(1+tbl_CVX[[#This Row],[RS]])))</f>
        <v>20.022891306967011</v>
      </c>
      <c r="J37" s="10">
        <f ca="1">IF(ROW($N37)-4&lt;BB_Periods, "", AVERAGE(INDIRECT(ADDRESS(ROW($F37)-RSI_Periods +1, MATCH("Adj Close", Price_Header,0))): INDIRECT(ADDRESS(ROW($F37),MATCH("Adj Close", Price_Header,0)))))</f>
        <v>77.253571642857153</v>
      </c>
      <c r="K37" s="10">
        <f ca="1">IF(tbl_CVX[[#This Row],[BB_Mean]]="", "", tbl_CVX[[#This Row],[BB_Mean]]+(BB_Width*tbl_CVX[[#This Row],[BB_Stdev]]))</f>
        <v>82.830086161862212</v>
      </c>
      <c r="L37" s="10">
        <f ca="1">IF(tbl_CVX[[#This Row],[BB_Mean]]="", "", tbl_CVX[[#This Row],[BB_Mean]]-(BB_Width*tbl_CVX[[#This Row],[BB_Stdev]]))</f>
        <v>71.677057123852094</v>
      </c>
      <c r="M37" s="46">
        <f>IF(ROW(tbl_CVX[[#This Row],[Adj Close]])=5, 0, $F37-$F36)</f>
        <v>-0.14999399999999241</v>
      </c>
      <c r="N37" s="46">
        <f>MAX(tbl_CVX[[#This Row],[Move]],0)</f>
        <v>0</v>
      </c>
      <c r="O37" s="46">
        <f>MAX(-tbl_CVX[[#This Row],[Move]],0)</f>
        <v>0.14999399999999241</v>
      </c>
      <c r="P37" s="46">
        <f ca="1">IF(ROW($N37)-5&lt;RSI_Periods, "", AVERAGE(INDIRECT(ADDRESS(ROW($N37)-RSI_Periods +1, MATCH("Upmove", Price_Header,0))): INDIRECT(ADDRESS(ROW($N37),MATCH("Upmove", Price_Header,0)))))</f>
        <v>0.25000007142857228</v>
      </c>
      <c r="Q37" s="46">
        <f ca="1">IF(ROW($O37)-5&lt;RSI_Periods, "", AVERAGE(INDIRECT(ADDRESS(ROW($O37)-RSI_Periods +1, MATCH("Downmove", Price_Header,0))): INDIRECT(ADDRESS(ROW($O37),MATCH("Downmove", Price_Header,0)))))</f>
        <v>0.99857121428571516</v>
      </c>
      <c r="R37" s="46">
        <f ca="1">IF(tbl_CVX[[#This Row],[Avg_Upmove]]="", "", tbl_CVX[[#This Row],[Avg_Upmove]]/tbl_CVX[[#This Row],[Avg_Downmove]])</f>
        <v>0.25035777904673434</v>
      </c>
      <c r="S37" s="10">
        <f ca="1">IF(ROW($N37)-4&lt;BB_Periods, "", _xlfn.STDEV.S(INDIRECT(ADDRESS(ROW($F37)-RSI_Periods +1, MATCH("Adj Close", Price_Header,0))): INDIRECT(ADDRESS(ROW($F37),MATCH("Adj Close", Price_Header,0)))))</f>
        <v>2.7882572595025299</v>
      </c>
    </row>
    <row r="38" spans="1:19" x14ac:dyDescent="0.35">
      <c r="A38" s="8">
        <v>44099</v>
      </c>
      <c r="B38" s="10">
        <v>71.010002</v>
      </c>
      <c r="C38" s="10">
        <v>72.480002999999996</v>
      </c>
      <c r="D38" s="10">
        <v>70.769997000000004</v>
      </c>
      <c r="E38" s="10">
        <v>71.830001999999993</v>
      </c>
      <c r="F38" s="10">
        <v>71.830001999999993</v>
      </c>
      <c r="G38">
        <v>11070500</v>
      </c>
      <c r="H38" s="10">
        <f>IF(tbl_CVX[[#This Row],[Date]]=$A$5, $F38, EMA_Beta*$H37 + (1-EMA_Beta)*$F38)</f>
        <v>77.747354061012899</v>
      </c>
      <c r="I38" s="46">
        <f ca="1">IF(tbl_CVX[[#This Row],[RS]]= "", "", 100-(100/(1+tbl_CVX[[#This Row],[RS]])))</f>
        <v>20.571097968659416</v>
      </c>
      <c r="J38" s="10">
        <f ca="1">IF(ROW($N38)-4&lt;BB_Periods, "", AVERAGE(INDIRECT(ADDRESS(ROW($F38)-RSI_Periods +1, MATCH("Adj Close", Price_Header,0))): INDIRECT(ADDRESS(ROW($F38),MATCH("Adj Close", Price_Header,0)))))</f>
        <v>76.532143214285711</v>
      </c>
      <c r="K38" s="10">
        <f ca="1">IF(tbl_CVX[[#This Row],[BB_Mean]]="", "", tbl_CVX[[#This Row],[BB_Mean]]+(BB_Width*tbl_CVX[[#This Row],[BB_Stdev]]))</f>
        <v>82.115817794094482</v>
      </c>
      <c r="L38" s="10">
        <f ca="1">IF(tbl_CVX[[#This Row],[BB_Mean]]="", "", tbl_CVX[[#This Row],[BB_Mean]]-(BB_Width*tbl_CVX[[#This Row],[BB_Stdev]]))</f>
        <v>70.948468634476939</v>
      </c>
      <c r="M38" s="46">
        <f>IF(ROW(tbl_CVX[[#This Row],[Adj Close]])=5, 0, $F38-$F37)</f>
        <v>2.9998999999989451E-2</v>
      </c>
      <c r="N38" s="46">
        <f>MAX(tbl_CVX[[#This Row],[Move]],0)</f>
        <v>2.9998999999989451E-2</v>
      </c>
      <c r="O38" s="46">
        <f>MAX(-tbl_CVX[[#This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0.25214285714285722</v>
      </c>
      <c r="Q38" s="46">
        <f ca="1">IF(ROW($O38)-5&lt;RSI_Periods, "", AVERAGE(INDIRECT(ADDRESS(ROW($O38)-RSI_Periods +1, MATCH("Downmove", Price_Header,0))): INDIRECT(ADDRESS(ROW($O38),MATCH("Downmove", Price_Header,0)))))</f>
        <v>0.97357128571428675</v>
      </c>
      <c r="R38" s="46">
        <f ca="1">IF(tbl_CVX[[#This Row],[Avg_Upmove]]="", "", tbl_CVX[[#This Row],[Avg_Upmove]]/tbl_CVX[[#This Row],[Avg_Downmove]])</f>
        <v>0.25898756551541663</v>
      </c>
      <c r="S38" s="10">
        <f ca="1">IF(ROW($N38)-4&lt;BB_Periods, "", _xlfn.STDEV.S(INDIRECT(ADDRESS(ROW($F38)-RSI_Periods +1, MATCH("Adj Close", Price_Header,0))): INDIRECT(ADDRESS(ROW($F38),MATCH("Adj Close", Price_Header,0)))))</f>
        <v>2.7918372899043824</v>
      </c>
    </row>
    <row r="39" spans="1:19" x14ac:dyDescent="0.35">
      <c r="A39" s="8">
        <v>44102</v>
      </c>
      <c r="B39" s="10">
        <v>73.639999000000003</v>
      </c>
      <c r="C39" s="10">
        <v>74.760002</v>
      </c>
      <c r="D39" s="10">
        <v>73.150002000000001</v>
      </c>
      <c r="E39" s="10">
        <v>73.930000000000007</v>
      </c>
      <c r="F39" s="10">
        <v>73.930000000000007</v>
      </c>
      <c r="G39">
        <v>12863800</v>
      </c>
      <c r="H39" s="10">
        <f>IF(tbl_CVX[[#This Row],[Date]]=$A$5, $F39, EMA_Beta*$H38 + (1-EMA_Beta)*$F39)</f>
        <v>77.365618654911614</v>
      </c>
      <c r="I39" s="46">
        <f ca="1">IF(tbl_CVX[[#This Row],[RS]]= "", "", 100-(100/(1+tbl_CVX[[#This Row],[RS]])))</f>
        <v>34.539871387706441</v>
      </c>
      <c r="J39" s="10">
        <f ca="1">IF(ROW($N39)-4&lt;BB_Periods, "", AVERAGE(INDIRECT(ADDRESS(ROW($F39)-RSI_Periods +1, MATCH("Adj Close", Price_Header,0))): INDIRECT(ADDRESS(ROW($F39),MATCH("Adj Close", Price_Header,0)))))</f>
        <v>76.172143142857152</v>
      </c>
      <c r="K39" s="10">
        <f ca="1">IF(tbl_CVX[[#This Row],[BB_Mean]]="", "", tbl_CVX[[#This Row],[BB_Mean]]+(BB_Width*tbl_CVX[[#This Row],[BB_Stdev]]))</f>
        <v>81.728573067442625</v>
      </c>
      <c r="L39" s="10">
        <f ca="1">IF(tbl_CVX[[#This Row],[BB_Mean]]="", "", tbl_CVX[[#This Row],[BB_Mean]]-(BB_Width*tbl_CVX[[#This Row],[BB_Stdev]]))</f>
        <v>70.615713218271679</v>
      </c>
      <c r="M39" s="46">
        <f>IF(ROW(tbl_CVX[[#This Row],[Adj Close]])=5, 0, $F39-$F38)</f>
        <v>2.0999980000000136</v>
      </c>
      <c r="N39" s="46">
        <f>MAX(tbl_CVX[[#This Row],[Move]],0)</f>
        <v>2.0999980000000136</v>
      </c>
      <c r="O39" s="46">
        <f>MAX(-tbl_CVX[[#This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0.40214271428571535</v>
      </c>
      <c r="Q39" s="46">
        <f ca="1">IF(ROW($O39)-5&lt;RSI_Periods, "", AVERAGE(INDIRECT(ADDRESS(ROW($O39)-RSI_Periods +1, MATCH("Downmove", Price_Header,0))): INDIRECT(ADDRESS(ROW($O39),MATCH("Downmove", Price_Header,0)))))</f>
        <v>0.76214278571428606</v>
      </c>
      <c r="R39" s="46">
        <f ca="1">IF(tbl_CVX[[#This Row],[Avg_Upmove]]="", "", tbl_CVX[[#This Row],[Avg_Upmove]]/tbl_CVX[[#This Row],[Avg_Downmove]])</f>
        <v>0.52764747213191043</v>
      </c>
      <c r="S39" s="10">
        <f ca="1">IF(ROW($N39)-4&lt;BB_Periods, "", _xlfn.STDEV.S(INDIRECT(ADDRESS(ROW($F39)-RSI_Periods +1, MATCH("Adj Close", Price_Header,0))): INDIRECT(ADDRESS(ROW($F39),MATCH("Adj Close", Price_Header,0)))))</f>
        <v>2.7782149622927332</v>
      </c>
    </row>
    <row r="40" spans="1:19" x14ac:dyDescent="0.35">
      <c r="A40" s="8">
        <v>44103</v>
      </c>
      <c r="B40" s="10">
        <v>74</v>
      </c>
      <c r="C40" s="10">
        <v>74.139999000000003</v>
      </c>
      <c r="D40" s="10">
        <v>71.110000999999997</v>
      </c>
      <c r="E40" s="10">
        <v>71.900002000000001</v>
      </c>
      <c r="F40" s="10">
        <v>71.900002000000001</v>
      </c>
      <c r="G40">
        <v>10553000</v>
      </c>
      <c r="H40" s="10">
        <f>IF(tbl_CVX[[#This Row],[Date]]=$A$5, $F40, EMA_Beta*$H39 + (1-EMA_Beta)*$F40)</f>
        <v>76.81905698942046</v>
      </c>
      <c r="I40" s="46">
        <f ca="1">IF(tbl_CVX[[#This Row],[RS]]= "", "", 100-(100/(1+tbl_CVX[[#This Row],[RS]])))</f>
        <v>26.462077555659107</v>
      </c>
      <c r="J40" s="10">
        <f ca="1">IF(ROW($N40)-4&lt;BB_Periods, "", AVERAGE(INDIRECT(ADDRESS(ROW($F40)-RSI_Periods +1, MATCH("Adj Close", Price_Header,0))): INDIRECT(ADDRESS(ROW($F40),MATCH("Adj Close", Price_Header,0)))))</f>
        <v>75.591429071428593</v>
      </c>
      <c r="K40" s="10">
        <f ca="1">IF(tbl_CVX[[#This Row],[BB_Mean]]="", "", tbl_CVX[[#This Row],[BB_Mean]]+(BB_Width*tbl_CVX[[#This Row],[BB_Stdev]]))</f>
        <v>81.110268229429479</v>
      </c>
      <c r="L40" s="10">
        <f ca="1">IF(tbl_CVX[[#This Row],[BB_Mean]]="", "", tbl_CVX[[#This Row],[BB_Mean]]-(BB_Width*tbl_CVX[[#This Row],[BB_Stdev]]))</f>
        <v>70.072589913427706</v>
      </c>
      <c r="M40" s="46">
        <f>IF(ROW(tbl_CVX[[#This Row],[Adj Close]])=5, 0, $F40-$F39)</f>
        <v>-2.0299980000000062</v>
      </c>
      <c r="N40" s="46">
        <f>MAX(tbl_CVX[[#This Row],[Move]],0)</f>
        <v>0</v>
      </c>
      <c r="O40" s="46">
        <f>MAX(-tbl_CVX[[#This Row],[Move]],0)</f>
        <v>2.0299980000000062</v>
      </c>
      <c r="P40" s="46">
        <f ca="1">IF(ROW($N40)-5&lt;RSI_Periods, "", AVERAGE(INDIRECT(ADDRESS(ROW($N40)-RSI_Periods +1, MATCH("Upmove", Price_Header,0))): INDIRECT(ADDRESS(ROW($N40),MATCH("Upmove", Price_Header,0)))))</f>
        <v>0.32642857142857196</v>
      </c>
      <c r="Q40" s="46">
        <f ca="1">IF(ROW($O40)-5&lt;RSI_Periods, "", AVERAGE(INDIRECT(ADDRESS(ROW($O40)-RSI_Periods +1, MATCH("Downmove", Price_Header,0))): INDIRECT(ADDRESS(ROW($O40),MATCH("Downmove", Price_Header,0)))))</f>
        <v>0.90714264285714363</v>
      </c>
      <c r="R40" s="46">
        <f ca="1">IF(tbl_CVX[[#This Row],[Avg_Upmove]]="", "", tbl_CVX[[#This Row],[Avg_Upmove]]/tbl_CVX[[#This Row],[Avg_Downmove]])</f>
        <v>0.35984260468722973</v>
      </c>
      <c r="S40" s="10">
        <f ca="1">IF(ROW($N40)-4&lt;BB_Periods, "", _xlfn.STDEV.S(INDIRECT(ADDRESS(ROW($F40)-RSI_Periods +1, MATCH("Adj Close", Price_Header,0))): INDIRECT(ADDRESS(ROW($F40),MATCH("Adj Close", Price_Header,0)))))</f>
        <v>2.7594195790004461</v>
      </c>
    </row>
    <row r="41" spans="1:19" x14ac:dyDescent="0.35">
      <c r="A41" s="8">
        <v>44104</v>
      </c>
      <c r="B41" s="10">
        <v>72.25</v>
      </c>
      <c r="C41" s="10">
        <v>72.889999000000003</v>
      </c>
      <c r="D41" s="10">
        <v>71.610000999999997</v>
      </c>
      <c r="E41" s="10">
        <v>72</v>
      </c>
      <c r="F41" s="10">
        <v>72</v>
      </c>
      <c r="G41">
        <v>10454300</v>
      </c>
      <c r="H41" s="10">
        <f>IF(tbl_CVX[[#This Row],[Date]]=$A$5, $F41, EMA_Beta*$H40 + (1-EMA_Beta)*$F41)</f>
        <v>76.337151290478417</v>
      </c>
      <c r="I41" s="46">
        <f ca="1">IF(tbl_CVX[[#This Row],[RS]]= "", "", 100-(100/(1+tbl_CVX[[#This Row],[RS]])))</f>
        <v>30.148473873269722</v>
      </c>
      <c r="J41" s="10">
        <f ca="1">IF(ROW($N41)-4&lt;BB_Periods, "", AVERAGE(INDIRECT(ADDRESS(ROW($F41)-RSI_Periods +1, MATCH("Adj Close", Price_Header,0))): INDIRECT(ADDRESS(ROW($F41),MATCH("Adj Close", Price_Header,0)))))</f>
        <v>75.152143214285715</v>
      </c>
      <c r="K41" s="10">
        <f ca="1">IF(tbl_CVX[[#This Row],[BB_Mean]]="", "", tbl_CVX[[#This Row],[BB_Mean]]+(BB_Width*tbl_CVX[[#This Row],[BB_Stdev]]))</f>
        <v>80.771823243855053</v>
      </c>
      <c r="L41" s="10">
        <f ca="1">IF(tbl_CVX[[#This Row],[BB_Mean]]="", "", tbl_CVX[[#This Row],[BB_Mean]]-(BB_Width*tbl_CVX[[#This Row],[BB_Stdev]]))</f>
        <v>69.532463184716377</v>
      </c>
      <c r="M41" s="46">
        <f>IF(ROW(tbl_CVX[[#This Row],[Adj Close]])=5, 0, $F41-$F40)</f>
        <v>9.9997999999999365E-2</v>
      </c>
      <c r="N41" s="46">
        <f>MAX(tbl_CVX[[#This Row],[Move]],0)</f>
        <v>9.9997999999999365E-2</v>
      </c>
      <c r="O41" s="46">
        <f>MAX(-tbl_CVX[[#This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0.33357128571428618</v>
      </c>
      <c r="Q41" s="46">
        <f ca="1">IF(ROW($O41)-5&lt;RSI_Periods, "", AVERAGE(INDIRECT(ADDRESS(ROW($O41)-RSI_Periods +1, MATCH("Downmove", Price_Header,0))): INDIRECT(ADDRESS(ROW($O41),MATCH("Downmove", Price_Header,0)))))</f>
        <v>0.77285714285714335</v>
      </c>
      <c r="R41" s="46">
        <f ca="1">IF(tbl_CVX[[#This Row],[Avg_Upmove]]="", "", tbl_CVX[[#This Row],[Avg_Upmove]]/tbl_CVX[[#This Row],[Avg_Downmove]])</f>
        <v>0.43160794824399296</v>
      </c>
      <c r="S41" s="10">
        <f ca="1">IF(ROW($N41)-4&lt;BB_Periods, "", _xlfn.STDEV.S(INDIRECT(ADDRESS(ROW($F41)-RSI_Periods +1, MATCH("Adj Close", Price_Header,0))): INDIRECT(ADDRESS(ROW($F41),MATCH("Adj Close", Price_Header,0)))))</f>
        <v>2.8098400147846689</v>
      </c>
    </row>
    <row r="42" spans="1:19" x14ac:dyDescent="0.35">
      <c r="A42" s="8">
        <v>44105</v>
      </c>
      <c r="B42" s="10">
        <v>71.510002</v>
      </c>
      <c r="C42" s="10">
        <v>71.879997000000003</v>
      </c>
      <c r="D42" s="10">
        <v>70.029999000000004</v>
      </c>
      <c r="E42" s="10">
        <v>70.419998000000007</v>
      </c>
      <c r="F42" s="10">
        <v>70.419998000000007</v>
      </c>
      <c r="G42">
        <v>14930700</v>
      </c>
      <c r="H42" s="10">
        <f>IF(tbl_CVX[[#This Row],[Date]]=$A$5, $F42, EMA_Beta*$H41 + (1-EMA_Beta)*$F42)</f>
        <v>75.745435961430573</v>
      </c>
      <c r="I42" s="46">
        <f ca="1">IF(tbl_CVX[[#This Row],[RS]]= "", "", 100-(100/(1+tbl_CVX[[#This Row],[RS]])))</f>
        <v>28.115580975316078</v>
      </c>
      <c r="J42" s="10">
        <f ca="1">IF(ROW($N42)-4&lt;BB_Periods, "", AVERAGE(INDIRECT(ADDRESS(ROW($F42)-RSI_Periods +1, MATCH("Adj Close", Price_Header,0))): INDIRECT(ADDRESS(ROW($F42),MATCH("Adj Close", Price_Header,0)))))</f>
        <v>74.632857214285721</v>
      </c>
      <c r="K42" s="10">
        <f ca="1">IF(tbl_CVX[[#This Row],[BB_Mean]]="", "", tbl_CVX[[#This Row],[BB_Mean]]+(BB_Width*tbl_CVX[[#This Row],[BB_Stdev]]))</f>
        <v>80.576564206458784</v>
      </c>
      <c r="L42" s="10">
        <f ca="1">IF(tbl_CVX[[#This Row],[BB_Mean]]="", "", tbl_CVX[[#This Row],[BB_Mean]]-(BB_Width*tbl_CVX[[#This Row],[BB_Stdev]]))</f>
        <v>68.689150222112659</v>
      </c>
      <c r="M42" s="46">
        <f>IF(ROW(tbl_CVX[[#This Row],[Adj Close]])=5, 0, $F42-$F41)</f>
        <v>-1.5800019999999932</v>
      </c>
      <c r="N42" s="46">
        <f>MAX(tbl_CVX[[#This Row],[Move]],0)</f>
        <v>0</v>
      </c>
      <c r="O42" s="46">
        <f>MAX(-tbl_CVX[[#This Row],[Move]],0)</f>
        <v>1.5800019999999932</v>
      </c>
      <c r="P42" s="46">
        <f ca="1">IF(ROW($N42)-5&lt;RSI_Periods, "", AVERAGE(INDIRECT(ADDRESS(ROW($N42)-RSI_Periods +1, MATCH("Upmove", Price_Header,0))): INDIRECT(ADDRESS(ROW($N42),MATCH("Upmove", Price_Header,0)))))</f>
        <v>0.33357128571428618</v>
      </c>
      <c r="Q42" s="46">
        <f ca="1">IF(ROW($O42)-5&lt;RSI_Periods, "", AVERAGE(INDIRECT(ADDRESS(ROW($O42)-RSI_Periods +1, MATCH("Downmove", Price_Header,0))): INDIRECT(ADDRESS(ROW($O42),MATCH("Downmove", Price_Header,0)))))</f>
        <v>0.85285728571428621</v>
      </c>
      <c r="R42" s="46">
        <f ca="1">IF(tbl_CVX[[#This Row],[Avg_Upmove]]="", "", tbl_CVX[[#This Row],[Avg_Upmove]]/tbl_CVX[[#This Row],[Avg_Downmove]])</f>
        <v>0.39112204503818371</v>
      </c>
      <c r="S42" s="10">
        <f ca="1">IF(ROW($N42)-4&lt;BB_Periods, "", _xlfn.STDEV.S(INDIRECT(ADDRESS(ROW($F42)-RSI_Periods +1, MATCH("Adj Close", Price_Header,0))): INDIRECT(ADDRESS(ROW($F42),MATCH("Adj Close", Price_Header,0)))))</f>
        <v>2.9718534960865277</v>
      </c>
    </row>
    <row r="43" spans="1:19" x14ac:dyDescent="0.35">
      <c r="A43" s="8">
        <v>44106</v>
      </c>
      <c r="B43" s="10">
        <v>68.919998000000007</v>
      </c>
      <c r="C43" s="10">
        <v>71.669998000000007</v>
      </c>
      <c r="D43" s="10">
        <v>68.819999999999993</v>
      </c>
      <c r="E43" s="10">
        <v>71.190002000000007</v>
      </c>
      <c r="F43" s="10">
        <v>71.190002000000007</v>
      </c>
      <c r="G43">
        <v>9854800</v>
      </c>
      <c r="H43" s="10">
        <f>IF(tbl_CVX[[#This Row],[Date]]=$A$5, $F43, EMA_Beta*$H42 + (1-EMA_Beta)*$F43)</f>
        <v>75.289892565287516</v>
      </c>
      <c r="I43" s="46">
        <f ca="1">IF(tbl_CVX[[#This Row],[RS]]= "", "", 100-(100/(1+tbl_CVX[[#This Row],[RS]])))</f>
        <v>32.037697519841444</v>
      </c>
      <c r="J43" s="10">
        <f ca="1">IF(ROW($N43)-4&lt;BB_Periods, "", AVERAGE(INDIRECT(ADDRESS(ROW($F43)-RSI_Periods +1, MATCH("Adj Close", Price_Header,0))): INDIRECT(ADDRESS(ROW($F43),MATCH("Adj Close", Price_Header,0)))))</f>
        <v>74.197142999999997</v>
      </c>
      <c r="K43" s="10">
        <f ca="1">IF(tbl_CVX[[#This Row],[BB_Mean]]="", "", tbl_CVX[[#This Row],[BB_Mean]]+(BB_Width*tbl_CVX[[#This Row],[BB_Stdev]]))</f>
        <v>80.195857074655251</v>
      </c>
      <c r="L43" s="10">
        <f ca="1">IF(tbl_CVX[[#This Row],[BB_Mean]]="", "", tbl_CVX[[#This Row],[BB_Mean]]-(BB_Width*tbl_CVX[[#This Row],[BB_Stdev]]))</f>
        <v>68.198428925344743</v>
      </c>
      <c r="M43" s="46">
        <f>IF(ROW(tbl_CVX[[#This Row],[Adj Close]])=5, 0, $F43-$F42)</f>
        <v>0.77000400000000013</v>
      </c>
      <c r="N43" s="46">
        <f>MAX(tbl_CVX[[#This Row],[Move]],0)</f>
        <v>0.77000400000000013</v>
      </c>
      <c r="O43" s="46">
        <f>MAX(-tbl_CVX[[#This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0.3885715714285719</v>
      </c>
      <c r="Q43" s="46">
        <f ca="1">IF(ROW($O43)-5&lt;RSI_Periods, "", AVERAGE(INDIRECT(ADDRESS(ROW($O43)-RSI_Periods +1, MATCH("Downmove", Price_Header,0))): INDIRECT(ADDRESS(ROW($O43),MATCH("Downmove", Price_Header,0)))))</f>
        <v>0.82428578571428601</v>
      </c>
      <c r="R43" s="46">
        <f ca="1">IF(tbl_CVX[[#This Row],[Avg_Upmove]]="", "", tbl_CVX[[#This Row],[Avg_Upmove]]/tbl_CVX[[#This Row],[Avg_Downmove]])</f>
        <v>0.47140394528562041</v>
      </c>
      <c r="S43" s="10">
        <f ca="1">IF(ROW($N43)-4&lt;BB_Periods, "", _xlfn.STDEV.S(INDIRECT(ADDRESS(ROW($F43)-RSI_Periods +1, MATCH("Adj Close", Price_Header,0))): INDIRECT(ADDRESS(ROW($F43),MATCH("Adj Close", Price_Header,0)))))</f>
        <v>2.999357037327627</v>
      </c>
    </row>
    <row r="44" spans="1:19" x14ac:dyDescent="0.35">
      <c r="A44" s="8">
        <v>44109</v>
      </c>
      <c r="B44" s="10">
        <v>71.519997000000004</v>
      </c>
      <c r="C44" s="10">
        <v>72.730002999999996</v>
      </c>
      <c r="D44" s="10">
        <v>70.709998999999996</v>
      </c>
      <c r="E44" s="10">
        <v>72.699996999999996</v>
      </c>
      <c r="F44" s="10">
        <v>72.699996999999996</v>
      </c>
      <c r="G44">
        <v>12049800</v>
      </c>
      <c r="H44" s="10">
        <f>IF(tbl_CVX[[#This Row],[Date]]=$A$5, $F44, EMA_Beta*$H43 + (1-EMA_Beta)*$F44)</f>
        <v>75.03090300875877</v>
      </c>
      <c r="I44" s="46">
        <f ca="1">IF(tbl_CVX[[#This Row],[RS]]= "", "", 100-(100/(1+tbl_CVX[[#This Row],[RS]])))</f>
        <v>39.601133789496799</v>
      </c>
      <c r="J44" s="10">
        <f ca="1">IF(ROW($N44)-4&lt;BB_Periods, "", AVERAGE(INDIRECT(ADDRESS(ROW($F44)-RSI_Periods +1, MATCH("Adj Close", Price_Header,0))): INDIRECT(ADDRESS(ROW($F44),MATCH("Adj Close", Price_Header,0)))))</f>
        <v>73.936428642857138</v>
      </c>
      <c r="K44" s="10">
        <f ca="1">IF(tbl_CVX[[#This Row],[BB_Mean]]="", "", tbl_CVX[[#This Row],[BB_Mean]]+(BB_Width*tbl_CVX[[#This Row],[BB_Stdev]]))</f>
        <v>79.848734144378085</v>
      </c>
      <c r="L44" s="10">
        <f ca="1">IF(tbl_CVX[[#This Row],[BB_Mean]]="", "", tbl_CVX[[#This Row],[BB_Mean]]-(BB_Width*tbl_CVX[[#This Row],[BB_Stdev]]))</f>
        <v>68.02412314133619</v>
      </c>
      <c r="M44" s="46">
        <f>IF(ROW(tbl_CVX[[#This Row],[Adj Close]])=5, 0, $F44-$F43)</f>
        <v>1.5099949999999893</v>
      </c>
      <c r="N44" s="46">
        <f>MAX(tbl_CVX[[#This Row],[Move]],0)</f>
        <v>1.5099949999999893</v>
      </c>
      <c r="O44" s="46">
        <f>MAX(-tbl_CVX[[#This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0.49642835714285688</v>
      </c>
      <c r="Q44" s="46">
        <f ca="1">IF(ROW($O44)-5&lt;RSI_Periods, "", AVERAGE(INDIRECT(ADDRESS(ROW($O44)-RSI_Periods +1, MATCH("Downmove", Price_Header,0))): INDIRECT(ADDRESS(ROW($O44),MATCH("Downmove", Price_Header,0)))))</f>
        <v>0.75714271428571422</v>
      </c>
      <c r="R44" s="46">
        <f ca="1">IF(tbl_CVX[[#This Row],[Avg_Upmove]]="", "", tbl_CVX[[#This Row],[Avg_Upmove]]/tbl_CVX[[#This Row],[Avg_Downmove]])</f>
        <v>0.65566021804909747</v>
      </c>
      <c r="S44" s="10">
        <f ca="1">IF(ROW($N44)-4&lt;BB_Periods, "", _xlfn.STDEV.S(INDIRECT(ADDRESS(ROW($F44)-RSI_Periods +1, MATCH("Adj Close", Price_Header,0))): INDIRECT(ADDRESS(ROW($F44),MATCH("Adj Close", Price_Header,0)))))</f>
        <v>2.9561527507604715</v>
      </c>
    </row>
    <row r="45" spans="1:19" x14ac:dyDescent="0.35">
      <c r="A45" s="8">
        <v>44110</v>
      </c>
      <c r="B45" s="10">
        <v>73.839995999999999</v>
      </c>
      <c r="C45" s="10">
        <v>74.319999999999993</v>
      </c>
      <c r="D45" s="10">
        <v>72.25</v>
      </c>
      <c r="E45" s="10">
        <v>72.300003000000004</v>
      </c>
      <c r="F45" s="10">
        <v>72.300003000000004</v>
      </c>
      <c r="G45">
        <v>15294500</v>
      </c>
      <c r="H45" s="10">
        <f>IF(tbl_CVX[[#This Row],[Date]]=$A$5, $F45, EMA_Beta*$H44 + (1-EMA_Beta)*$F45)</f>
        <v>74.757813007882902</v>
      </c>
      <c r="I45" s="46">
        <f ca="1">IF(tbl_CVX[[#This Row],[RS]]= "", "", 100-(100/(1+tbl_CVX[[#This Row],[RS]])))</f>
        <v>30.114360308638098</v>
      </c>
      <c r="J45" s="10">
        <f ca="1">IF(ROW($N45)-4&lt;BB_Periods, "", AVERAGE(INDIRECT(ADDRESS(ROW($F45)-RSI_Periods +1, MATCH("Adj Close", Price_Header,0))): INDIRECT(ADDRESS(ROW($F45),MATCH("Adj Close", Price_Header,0)))))</f>
        <v>73.489286142857154</v>
      </c>
      <c r="K45" s="10">
        <f ca="1">IF(tbl_CVX[[#This Row],[BB_Mean]]="", "", tbl_CVX[[#This Row],[BB_Mean]]+(BB_Width*tbl_CVX[[#This Row],[BB_Stdev]]))</f>
        <v>78.812856188079863</v>
      </c>
      <c r="L45" s="10">
        <f ca="1">IF(tbl_CVX[[#This Row],[BB_Mean]]="", "", tbl_CVX[[#This Row],[BB_Mean]]-(BB_Width*tbl_CVX[[#This Row],[BB_Stdev]]))</f>
        <v>68.165716097634444</v>
      </c>
      <c r="M45" s="46">
        <f>IF(ROW(tbl_CVX[[#This Row],[Adj Close]])=5, 0, $F45-$F44)</f>
        <v>-0.39999399999999241</v>
      </c>
      <c r="N45" s="46">
        <f>MAX(tbl_CVX[[#This Row],[Move]],0)</f>
        <v>0</v>
      </c>
      <c r="O45" s="46">
        <f>MAX(-tbl_CVX[[#This Row],[Move]],0)</f>
        <v>0.39999399999999241</v>
      </c>
      <c r="P45" s="46">
        <f ca="1">IF(ROW($N45)-5&lt;RSI_Periods, "", AVERAGE(INDIRECT(ADDRESS(ROW($N45)-RSI_Periods +1, MATCH("Upmove", Price_Header,0))): INDIRECT(ADDRESS(ROW($N45),MATCH("Upmove", Price_Header,0)))))</f>
        <v>0.33857121428571446</v>
      </c>
      <c r="Q45" s="46">
        <f ca="1">IF(ROW($O45)-5&lt;RSI_Periods, "", AVERAGE(INDIRECT(ADDRESS(ROW($O45)-RSI_Periods +1, MATCH("Downmove", Price_Header,0))): INDIRECT(ADDRESS(ROW($O45),MATCH("Downmove", Price_Header,0)))))</f>
        <v>0.78571371428571368</v>
      </c>
      <c r="R45" s="46">
        <f ca="1">IF(tbl_CVX[[#This Row],[Avg_Upmove]]="", "", tbl_CVX[[#This Row],[Avg_Upmove]]/tbl_CVX[[#This Row],[Avg_Downmove]])</f>
        <v>0.43090913157027805</v>
      </c>
      <c r="S45" s="10">
        <f ca="1">IF(ROW($N45)-4&lt;BB_Periods, "", _xlfn.STDEV.S(INDIRECT(ADDRESS(ROW($F45)-RSI_Periods +1, MATCH("Adj Close", Price_Header,0))): INDIRECT(ADDRESS(ROW($F45),MATCH("Adj Close", Price_Header,0)))))</f>
        <v>2.6617850226113551</v>
      </c>
    </row>
    <row r="46" spans="1:19" x14ac:dyDescent="0.35">
      <c r="A46" s="8">
        <v>44111</v>
      </c>
      <c r="B46" s="10">
        <v>72.169998000000007</v>
      </c>
      <c r="C46" s="10">
        <v>73.919998000000007</v>
      </c>
      <c r="D46" s="10">
        <v>71.559997999999993</v>
      </c>
      <c r="E46" s="10">
        <v>73.779999000000004</v>
      </c>
      <c r="F46" s="10">
        <v>73.779999000000004</v>
      </c>
      <c r="G46">
        <v>15410300</v>
      </c>
      <c r="H46" s="10">
        <f>IF(tbl_CVX[[#This Row],[Date]]=$A$5, $F46, EMA_Beta*$H45 + (1-EMA_Beta)*$F46)</f>
        <v>74.660031607094623</v>
      </c>
      <c r="I46" s="46">
        <f ca="1">IF(tbl_CVX[[#This Row],[RS]]= "", "", 100-(100/(1+tbl_CVX[[#This Row],[RS]])))</f>
        <v>35.256011454279346</v>
      </c>
      <c r="J46" s="10">
        <f ca="1">IF(ROW($N46)-4&lt;BB_Periods, "", AVERAGE(INDIRECT(ADDRESS(ROW($F46)-RSI_Periods +1, MATCH("Adj Close", Price_Header,0))): INDIRECT(ADDRESS(ROW($F46),MATCH("Adj Close", Price_Header,0)))))</f>
        <v>73.131428857142865</v>
      </c>
      <c r="K46" s="10">
        <f ca="1">IF(tbl_CVX[[#This Row],[BB_Mean]]="", "", tbl_CVX[[#This Row],[BB_Mean]]+(BB_Width*tbl_CVX[[#This Row],[BB_Stdev]]))</f>
        <v>77.509709652059996</v>
      </c>
      <c r="L46" s="10">
        <f ca="1">IF(tbl_CVX[[#This Row],[BB_Mean]]="", "", tbl_CVX[[#This Row],[BB_Mean]]-(BB_Width*tbl_CVX[[#This Row],[BB_Stdev]]))</f>
        <v>68.753148062225733</v>
      </c>
      <c r="M46" s="46">
        <f>IF(ROW(tbl_CVX[[#This Row],[Adj Close]])=5, 0, $F46-$F45)</f>
        <v>1.4799959999999999</v>
      </c>
      <c r="N46" s="46">
        <f>MAX(tbl_CVX[[#This Row],[Move]],0)</f>
        <v>1.4799959999999999</v>
      </c>
      <c r="O46" s="46">
        <f>MAX(-tbl_CVX[[#This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0.42785642857142797</v>
      </c>
      <c r="Q46" s="46">
        <f ca="1">IF(ROW($O46)-5&lt;RSI_Periods, "", AVERAGE(INDIRECT(ADDRESS(ROW($O46)-RSI_Periods +1, MATCH("Downmove", Price_Header,0))): INDIRECT(ADDRESS(ROW($O46),MATCH("Downmove", Price_Header,0)))))</f>
        <v>0.78571371428571368</v>
      </c>
      <c r="R46" s="46">
        <f ca="1">IF(tbl_CVX[[#This Row],[Avg_Upmove]]="", "", tbl_CVX[[#This Row],[Avg_Upmove]]/tbl_CVX[[#This Row],[Avg_Downmove]])</f>
        <v>0.54454494148722987</v>
      </c>
      <c r="S46" s="10">
        <f ca="1">IF(ROW($N46)-4&lt;BB_Periods, "", _xlfn.STDEV.S(INDIRECT(ADDRESS(ROW($F46)-RSI_Periods +1, MATCH("Adj Close", Price_Header,0))): INDIRECT(ADDRESS(ROW($F46),MATCH("Adj Close", Price_Header,0)))))</f>
        <v>2.189140397458567</v>
      </c>
    </row>
    <row r="47" spans="1:19" x14ac:dyDescent="0.35">
      <c r="A47" s="8">
        <v>44112</v>
      </c>
      <c r="B47" s="10">
        <v>74.389999000000003</v>
      </c>
      <c r="C47" s="10">
        <v>75.550003000000004</v>
      </c>
      <c r="D47" s="10">
        <v>73.989998</v>
      </c>
      <c r="E47" s="10">
        <v>75.220000999999996</v>
      </c>
      <c r="F47" s="10">
        <v>75.220000999999996</v>
      </c>
      <c r="G47">
        <v>11590900</v>
      </c>
      <c r="H47" s="10">
        <f>IF(tbl_CVX[[#This Row],[Date]]=$A$5, $F47, EMA_Beta*$H46 + (1-EMA_Beta)*$F47)</f>
        <v>74.716028546385161</v>
      </c>
      <c r="I47" s="46">
        <f ca="1">IF(tbl_CVX[[#This Row],[RS]]= "", "", 100-(100/(1+tbl_CVX[[#This Row],[RS]])))</f>
        <v>41.624647016450758</v>
      </c>
      <c r="J47" s="10">
        <f ca="1">IF(ROW($N47)-4&lt;BB_Periods, "", AVERAGE(INDIRECT(ADDRESS(ROW($F47)-RSI_Periods +1, MATCH("Adj Close", Price_Header,0))): INDIRECT(ADDRESS(ROW($F47),MATCH("Adj Close", Price_Header,0)))))</f>
        <v>72.917857571428584</v>
      </c>
      <c r="K47" s="10">
        <f ca="1">IF(tbl_CVX[[#This Row],[BB_Mean]]="", "", tbl_CVX[[#This Row],[BB_Mean]]+(BB_Width*tbl_CVX[[#This Row],[BB_Stdev]]))</f>
        <v>76.43625078075064</v>
      </c>
      <c r="L47" s="10">
        <f ca="1">IF(tbl_CVX[[#This Row],[BB_Mean]]="", "", tbl_CVX[[#This Row],[BB_Mean]]-(BB_Width*tbl_CVX[[#This Row],[BB_Stdev]]))</f>
        <v>69.399464362106528</v>
      </c>
      <c r="M47" s="46">
        <f>IF(ROW(tbl_CVX[[#This Row],[Adj Close]])=5, 0, $F47-$F46)</f>
        <v>1.4400019999999927</v>
      </c>
      <c r="N47" s="46">
        <f>MAX(tbl_CVX[[#This Row],[Move]],0)</f>
        <v>1.4400019999999927</v>
      </c>
      <c r="O47" s="46">
        <f>MAX(-tbl_CVX[[#This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0.53071371428571312</v>
      </c>
      <c r="Q47" s="46">
        <f ca="1">IF(ROW($O47)-5&lt;RSI_Periods, "", AVERAGE(INDIRECT(ADDRESS(ROW($O47)-RSI_Periods +1, MATCH("Downmove", Price_Header,0))): INDIRECT(ADDRESS(ROW($O47),MATCH("Downmove", Price_Header,0)))))</f>
        <v>0.74428499999999886</v>
      </c>
      <c r="R47" s="46">
        <f ca="1">IF(tbl_CVX[[#This Row],[Avg_Upmove]]="", "", tbl_CVX[[#This Row],[Avg_Upmove]]/tbl_CVX[[#This Row],[Avg_Downmove]])</f>
        <v>0.71305173997287863</v>
      </c>
      <c r="S47" s="10">
        <f ca="1">IF(ROW($N47)-4&lt;BB_Periods, "", _xlfn.STDEV.S(INDIRECT(ADDRESS(ROW($F47)-RSI_Periods +1, MATCH("Adj Close", Price_Header,0))): INDIRECT(ADDRESS(ROW($F47),MATCH("Adj Close", Price_Header,0)))))</f>
        <v>1.7591966046610252</v>
      </c>
    </row>
    <row r="48" spans="1:19" x14ac:dyDescent="0.35">
      <c r="A48" s="8">
        <v>44113</v>
      </c>
      <c r="B48" s="10">
        <v>75.860000999999997</v>
      </c>
      <c r="C48" s="10">
        <v>76.089995999999999</v>
      </c>
      <c r="D48" s="10">
        <v>73.980002999999996</v>
      </c>
      <c r="E48" s="10">
        <v>74</v>
      </c>
      <c r="F48" s="10">
        <v>74</v>
      </c>
      <c r="G48">
        <v>12260900</v>
      </c>
      <c r="H48" s="10">
        <f>IF(tbl_CVX[[#This Row],[Date]]=$A$5, $F48, EMA_Beta*$H47 + (1-EMA_Beta)*$F48)</f>
        <v>74.644425691746648</v>
      </c>
      <c r="I48" s="46">
        <f ca="1">IF(tbl_CVX[[#This Row],[RS]]= "", "", 100-(100/(1+tbl_CVX[[#This Row],[RS]])))</f>
        <v>43.298354480105353</v>
      </c>
      <c r="J48" s="10">
        <f ca="1">IF(ROW($N48)-4&lt;BB_Periods, "", AVERAGE(INDIRECT(ADDRESS(ROW($F48)-RSI_Periods +1, MATCH("Adj Close", Price_Header,0))): INDIRECT(ADDRESS(ROW($F48),MATCH("Adj Close", Price_Header,0)))))</f>
        <v>72.753571642857153</v>
      </c>
      <c r="K48" s="10">
        <f ca="1">IF(tbl_CVX[[#This Row],[BB_Mean]]="", "", tbl_CVX[[#This Row],[BB_Mean]]+(BB_Width*tbl_CVX[[#This Row],[BB_Stdev]]))</f>
        <v>75.770769090678158</v>
      </c>
      <c r="L48" s="10">
        <f ca="1">IF(tbl_CVX[[#This Row],[BB_Mean]]="", "", tbl_CVX[[#This Row],[BB_Mean]]-(BB_Width*tbl_CVX[[#This Row],[BB_Stdev]]))</f>
        <v>69.736374195036149</v>
      </c>
      <c r="M48" s="46">
        <f>IF(ROW(tbl_CVX[[#This Row],[Adj Close]])=5, 0, $F48-$F47)</f>
        <v>-1.2200009999999963</v>
      </c>
      <c r="N48" s="46">
        <f>MAX(tbl_CVX[[#This Row],[Move]],0)</f>
        <v>0</v>
      </c>
      <c r="O48" s="46">
        <f>MAX(-tbl_CVX[[#This Row],[Move]],0)</f>
        <v>1.2200009999999963</v>
      </c>
      <c r="P48" s="46">
        <f ca="1">IF(ROW($N48)-5&lt;RSI_Periods, "", AVERAGE(INDIRECT(ADDRESS(ROW($N48)-RSI_Periods +1, MATCH("Upmove", Price_Header,0))): INDIRECT(ADDRESS(ROW($N48),MATCH("Upmove", Price_Header,0)))))</f>
        <v>0.53071371428571312</v>
      </c>
      <c r="Q48" s="46">
        <f ca="1">IF(ROW($O48)-5&lt;RSI_Periods, "", AVERAGE(INDIRECT(ADDRESS(ROW($O48)-RSI_Periods +1, MATCH("Downmove", Price_Header,0))): INDIRECT(ADDRESS(ROW($O48),MATCH("Downmove", Price_Header,0)))))</f>
        <v>0.694999642857142</v>
      </c>
      <c r="R48" s="46">
        <f ca="1">IF(tbl_CVX[[#This Row],[Avg_Upmove]]="", "", tbl_CVX[[#This Row],[Avg_Upmove]]/tbl_CVX[[#This Row],[Avg_Downmove]])</f>
        <v>0.76361724749087667</v>
      </c>
      <c r="S48" s="10">
        <f ca="1">IF(ROW($N48)-4&lt;BB_Periods, "", _xlfn.STDEV.S(INDIRECT(ADDRESS(ROW($F48)-RSI_Periods +1, MATCH("Adj Close", Price_Header,0))): INDIRECT(ADDRESS(ROW($F48),MATCH("Adj Close", Price_Header,0)))))</f>
        <v>1.5085987239105034</v>
      </c>
    </row>
    <row r="49" spans="1:19" x14ac:dyDescent="0.35">
      <c r="A49" s="8">
        <v>44116</v>
      </c>
      <c r="B49" s="10">
        <v>73.629997000000003</v>
      </c>
      <c r="C49" s="10">
        <v>74.949996999999996</v>
      </c>
      <c r="D49" s="10">
        <v>73.199996999999996</v>
      </c>
      <c r="E49" s="10">
        <v>74.510002</v>
      </c>
      <c r="F49" s="10">
        <v>74.510002</v>
      </c>
      <c r="G49">
        <v>9056900</v>
      </c>
      <c r="H49" s="10">
        <f>IF(tbl_CVX[[#This Row],[Date]]=$A$5, $F49, EMA_Beta*$H48 + (1-EMA_Beta)*$F49)</f>
        <v>74.630983322571979</v>
      </c>
      <c r="I49" s="46">
        <f ca="1">IF(tbl_CVX[[#This Row],[RS]]= "", "", 100-(100/(1+tbl_CVX[[#This Row],[RS]])))</f>
        <v>46.982254717977547</v>
      </c>
      <c r="J49" s="10">
        <f ca="1">IF(ROW($N49)-4&lt;BB_Periods, "", AVERAGE(INDIRECT(ADDRESS(ROW($F49)-RSI_Periods +1, MATCH("Adj Close", Price_Header,0))): INDIRECT(ADDRESS(ROW($F49),MATCH("Adj Close", Price_Header,0)))))</f>
        <v>72.680714714285713</v>
      </c>
      <c r="K49" s="10">
        <f ca="1">IF(tbl_CVX[[#This Row],[BB_Mean]]="", "", tbl_CVX[[#This Row],[BB_Mean]]+(BB_Width*tbl_CVX[[#This Row],[BB_Stdev]]))</f>
        <v>75.448023671412273</v>
      </c>
      <c r="L49" s="10">
        <f ca="1">IF(tbl_CVX[[#This Row],[BB_Mean]]="", "", tbl_CVX[[#This Row],[BB_Mean]]-(BB_Width*tbl_CVX[[#This Row],[BB_Stdev]]))</f>
        <v>69.913405757159154</v>
      </c>
      <c r="M49" s="46">
        <f>IF(ROW(tbl_CVX[[#This Row],[Adj Close]])=5, 0, $F49-$F48)</f>
        <v>0.51000200000000007</v>
      </c>
      <c r="N49" s="46">
        <f>MAX(tbl_CVX[[#This Row],[Move]],0)</f>
        <v>0.51000200000000007</v>
      </c>
      <c r="O49" s="46">
        <f>MAX(-tbl_CVX[[#This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0.56714242857142749</v>
      </c>
      <c r="Q49" s="46">
        <f ca="1">IF(ROW($O49)-5&lt;RSI_Periods, "", AVERAGE(INDIRECT(ADDRESS(ROW($O49)-RSI_Periods +1, MATCH("Downmove", Price_Header,0))): INDIRECT(ADDRESS(ROW($O49),MATCH("Downmove", Price_Header,0)))))</f>
        <v>0.63999935714285627</v>
      </c>
      <c r="R49" s="46">
        <f ca="1">IF(tbl_CVX[[#This Row],[Avg_Upmove]]="", "", tbl_CVX[[#This Row],[Avg_Upmove]]/tbl_CVX[[#This Row],[Avg_Downmove]])</f>
        <v>0.88616093475986701</v>
      </c>
      <c r="S49" s="10">
        <f ca="1">IF(ROW($N49)-4&lt;BB_Periods, "", _xlfn.STDEV.S(INDIRECT(ADDRESS(ROW($F49)-RSI_Periods +1, MATCH("Adj Close", Price_Header,0))): INDIRECT(ADDRESS(ROW($F49),MATCH("Adj Close", Price_Header,0)))))</f>
        <v>1.3836544785632781</v>
      </c>
    </row>
    <row r="50" spans="1:19" x14ac:dyDescent="0.35">
      <c r="A50" s="8">
        <v>44117</v>
      </c>
      <c r="B50" s="10">
        <v>74.739998</v>
      </c>
      <c r="C50" s="10">
        <v>74.739998</v>
      </c>
      <c r="D50" s="10">
        <v>72.779999000000004</v>
      </c>
      <c r="E50" s="10">
        <v>73.400002000000001</v>
      </c>
      <c r="F50" s="10">
        <v>73.400002000000001</v>
      </c>
      <c r="G50">
        <v>10440300</v>
      </c>
      <c r="H50" s="10">
        <f>IF(tbl_CVX[[#This Row],[Date]]=$A$5, $F50, EMA_Beta*$H49 + (1-EMA_Beta)*$F50)</f>
        <v>74.507885190314795</v>
      </c>
      <c r="I50" s="46">
        <f ca="1">IF(tbl_CVX[[#This Row],[RS]]= "", "", 100-(100/(1+tbl_CVX[[#This Row],[RS]])))</f>
        <v>55.02427826838052</v>
      </c>
      <c r="J50" s="10">
        <f ca="1">IF(ROW($N50)-4&lt;BB_Periods, "", AVERAGE(INDIRECT(ADDRESS(ROW($F50)-RSI_Periods +1, MATCH("Adj Close", Price_Header,0))): INDIRECT(ADDRESS(ROW($F50),MATCH("Adj Close", Price_Header,0)))))</f>
        <v>72.784286499999993</v>
      </c>
      <c r="K50" s="10">
        <f ca="1">IF(tbl_CVX[[#This Row],[BB_Mean]]="", "", tbl_CVX[[#This Row],[BB_Mean]]+(BB_Width*tbl_CVX[[#This Row],[BB_Stdev]]))</f>
        <v>75.542309343822467</v>
      </c>
      <c r="L50" s="10">
        <f ca="1">IF(tbl_CVX[[#This Row],[BB_Mean]]="", "", tbl_CVX[[#This Row],[BB_Mean]]-(BB_Width*tbl_CVX[[#This Row],[BB_Stdev]]))</f>
        <v>70.02626365617752</v>
      </c>
      <c r="M50" s="46">
        <f>IF(ROW(tbl_CVX[[#This Row],[Adj Close]])=5, 0, $F50-$F49)</f>
        <v>-1.1099999999999994</v>
      </c>
      <c r="N50" s="46">
        <f>MAX(tbl_CVX[[#This Row],[Move]],0)</f>
        <v>0</v>
      </c>
      <c r="O50" s="46">
        <f>MAX(-tbl_CVX[[#This Row],[Move]],0)</f>
        <v>1.1099999999999994</v>
      </c>
      <c r="P50" s="46">
        <f ca="1">IF(ROW($N50)-5&lt;RSI_Periods, "", AVERAGE(INDIRECT(ADDRESS(ROW($N50)-RSI_Periods +1, MATCH("Upmove", Price_Header,0))): INDIRECT(ADDRESS(ROW($N50),MATCH("Upmove", Price_Header,0)))))</f>
        <v>0.56714242857142749</v>
      </c>
      <c r="Q50" s="46">
        <f ca="1">IF(ROW($O50)-5&lt;RSI_Periods, "", AVERAGE(INDIRECT(ADDRESS(ROW($O50)-RSI_Periods +1, MATCH("Downmove", Price_Header,0))): INDIRECT(ADDRESS(ROW($O50),MATCH("Downmove", Price_Header,0)))))</f>
        <v>0.46357064285714145</v>
      </c>
      <c r="R50" s="46">
        <f ca="1">IF(tbl_CVX[[#This Row],[Avg_Upmove]]="", "", tbl_CVX[[#This Row],[Avg_Upmove]]/tbl_CVX[[#This Row],[Avg_Downmove]])</f>
        <v>1.2234217962464973</v>
      </c>
      <c r="S50" s="10">
        <f ca="1">IF(ROW($N50)-4&lt;BB_Periods, "", _xlfn.STDEV.S(INDIRECT(ADDRESS(ROW($F50)-RSI_Periods +1, MATCH("Adj Close", Price_Header,0))): INDIRECT(ADDRESS(ROW($F50),MATCH("Adj Close", Price_Header,0)))))</f>
        <v>1.3790114219112364</v>
      </c>
    </row>
    <row r="51" spans="1:19" x14ac:dyDescent="0.35">
      <c r="A51" s="8">
        <v>44118</v>
      </c>
      <c r="B51" s="10">
        <v>73.279999000000004</v>
      </c>
      <c r="C51" s="10">
        <v>74.430000000000007</v>
      </c>
      <c r="D51" s="10">
        <v>72.910004000000001</v>
      </c>
      <c r="E51" s="10">
        <v>72.949996999999996</v>
      </c>
      <c r="F51" s="10">
        <v>72.949996999999996</v>
      </c>
      <c r="G51">
        <v>7058100</v>
      </c>
      <c r="H51" s="10">
        <f>IF(tbl_CVX[[#This Row],[Date]]=$A$5, $F51, EMA_Beta*$H50 + (1-EMA_Beta)*$F51)</f>
        <v>74.352096371283324</v>
      </c>
      <c r="I51" s="46">
        <f ca="1">IF(tbl_CVX[[#This Row],[RS]]= "", "", 100-(100/(1+tbl_CVX[[#This Row],[RS]])))</f>
        <v>53.903579322571325</v>
      </c>
      <c r="J51" s="10">
        <f ca="1">IF(ROW($N51)-4&lt;BB_Periods, "", AVERAGE(INDIRECT(ADDRESS(ROW($F51)-RSI_Periods +1, MATCH("Adj Close", Price_Header,0))): INDIRECT(ADDRESS(ROW($F51),MATCH("Adj Close", Price_Header,0)))))</f>
        <v>72.866428928571423</v>
      </c>
      <c r="K51" s="10">
        <f ca="1">IF(tbl_CVX[[#This Row],[BB_Mean]]="", "", tbl_CVX[[#This Row],[BB_Mean]]+(BB_Width*tbl_CVX[[#This Row],[BB_Stdev]]))</f>
        <v>75.566054269205921</v>
      </c>
      <c r="L51" s="10">
        <f ca="1">IF(tbl_CVX[[#This Row],[BB_Mean]]="", "", tbl_CVX[[#This Row],[BB_Mean]]-(BB_Width*tbl_CVX[[#This Row],[BB_Stdev]]))</f>
        <v>70.166803587936926</v>
      </c>
      <c r="M51" s="46">
        <f>IF(ROW(tbl_CVX[[#This Row],[Adj Close]])=5, 0, $F51-$F50)</f>
        <v>-0.45000500000000443</v>
      </c>
      <c r="N51" s="46">
        <f>MAX(tbl_CVX[[#This Row],[Move]],0)</f>
        <v>0</v>
      </c>
      <c r="O51" s="46">
        <f>MAX(-tbl_CVX[[#This Row],[Move]],0)</f>
        <v>0.45000500000000443</v>
      </c>
      <c r="P51" s="46">
        <f ca="1">IF(ROW($N51)-5&lt;RSI_Periods, "", AVERAGE(INDIRECT(ADDRESS(ROW($N51)-RSI_Periods +1, MATCH("Upmove", Price_Header,0))): INDIRECT(ADDRESS(ROW($N51),MATCH("Upmove", Price_Header,0)))))</f>
        <v>0.56714242857142749</v>
      </c>
      <c r="Q51" s="46">
        <f ca="1">IF(ROW($O51)-5&lt;RSI_Periods, "", AVERAGE(INDIRECT(ADDRESS(ROW($O51)-RSI_Periods +1, MATCH("Downmove", Price_Header,0))): INDIRECT(ADDRESS(ROW($O51),MATCH("Downmove", Price_Header,0)))))</f>
        <v>0.48499999999999943</v>
      </c>
      <c r="R51" s="46">
        <f ca="1">IF(tbl_CVX[[#This Row],[Avg_Upmove]]="", "", tbl_CVX[[#This Row],[Avg_Upmove]]/tbl_CVX[[#This Row],[Avg_Downmove]])</f>
        <v>1.1693658321060374</v>
      </c>
      <c r="S51" s="10">
        <f ca="1">IF(ROW($N51)-4&lt;BB_Periods, "", _xlfn.STDEV.S(INDIRECT(ADDRESS(ROW($F51)-RSI_Periods +1, MATCH("Adj Close", Price_Header,0))): INDIRECT(ADDRESS(ROW($F51),MATCH("Adj Close", Price_Header,0)))))</f>
        <v>1.3498126703172524</v>
      </c>
    </row>
    <row r="52" spans="1:19" x14ac:dyDescent="0.35">
      <c r="A52" s="8">
        <v>44119</v>
      </c>
      <c r="B52" s="10">
        <v>71.819999999999993</v>
      </c>
      <c r="C52" s="10">
        <v>73.720000999999996</v>
      </c>
      <c r="D52" s="10">
        <v>71.389999000000003</v>
      </c>
      <c r="E52" s="10">
        <v>73.510002</v>
      </c>
      <c r="F52" s="10">
        <v>73.510002</v>
      </c>
      <c r="G52">
        <v>10052100</v>
      </c>
      <c r="H52" s="10">
        <f>IF(tbl_CVX[[#This Row],[Date]]=$A$5, $F52, EMA_Beta*$H51 + (1-EMA_Beta)*$F52)</f>
        <v>74.267886934155001</v>
      </c>
      <c r="I52" s="46">
        <f ca="1">IF(tbl_CVX[[#This Row],[RS]]= "", "", 100-(100/(1+tbl_CVX[[#This Row],[RS]])))</f>
        <v>55.504587155963321</v>
      </c>
      <c r="J52" s="10">
        <f ca="1">IF(ROW($N52)-4&lt;BB_Periods, "", AVERAGE(INDIRECT(ADDRESS(ROW($F52)-RSI_Periods +1, MATCH("Adj Close", Price_Header,0))): INDIRECT(ADDRESS(ROW($F52),MATCH("Adj Close", Price_Header,0)))))</f>
        <v>72.986428928571428</v>
      </c>
      <c r="K52" s="10">
        <f ca="1">IF(tbl_CVX[[#This Row],[BB_Mean]]="", "", tbl_CVX[[#This Row],[BB_Mean]]+(BB_Width*tbl_CVX[[#This Row],[BB_Stdev]]))</f>
        <v>75.636498924996019</v>
      </c>
      <c r="L52" s="10">
        <f ca="1">IF(tbl_CVX[[#This Row],[BB_Mean]]="", "", tbl_CVX[[#This Row],[BB_Mean]]-(BB_Width*tbl_CVX[[#This Row],[BB_Stdev]]))</f>
        <v>70.336358932146837</v>
      </c>
      <c r="M52" s="46">
        <f>IF(ROW(tbl_CVX[[#This Row],[Adj Close]])=5, 0, $F52-$F51)</f>
        <v>0.56000500000000386</v>
      </c>
      <c r="N52" s="46">
        <f>MAX(tbl_CVX[[#This Row],[Move]],0)</f>
        <v>0.56000500000000386</v>
      </c>
      <c r="O52" s="46">
        <f>MAX(-tbl_CVX[[#This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0.60499999999999987</v>
      </c>
      <c r="Q52" s="46">
        <f ca="1">IF(ROW($O52)-5&lt;RSI_Periods, "", AVERAGE(INDIRECT(ADDRESS(ROW($O52)-RSI_Periods +1, MATCH("Downmove", Price_Header,0))): INDIRECT(ADDRESS(ROW($O52),MATCH("Downmove", Price_Header,0)))))</f>
        <v>0.48499999999999943</v>
      </c>
      <c r="R52" s="46">
        <f ca="1">IF(tbl_CVX[[#This Row],[Avg_Upmove]]="", "", tbl_CVX[[#This Row],[Avg_Upmove]]/tbl_CVX[[#This Row],[Avg_Downmove]])</f>
        <v>1.2474226804123723</v>
      </c>
      <c r="S52" s="10">
        <f ca="1">IF(ROW($N52)-4&lt;BB_Periods, "", _xlfn.STDEV.S(INDIRECT(ADDRESS(ROW($F52)-RSI_Periods +1, MATCH("Adj Close", Price_Header,0))): INDIRECT(ADDRESS(ROW($F52),MATCH("Adj Close", Price_Header,0)))))</f>
        <v>1.3250349982122931</v>
      </c>
    </row>
    <row r="53" spans="1:19" x14ac:dyDescent="0.35">
      <c r="A53" s="8">
        <v>44120</v>
      </c>
      <c r="B53" s="10">
        <v>73.519997000000004</v>
      </c>
      <c r="C53" s="10">
        <v>74.029999000000004</v>
      </c>
      <c r="D53" s="10">
        <v>72.269997000000004</v>
      </c>
      <c r="E53" s="10">
        <v>72.889999000000003</v>
      </c>
      <c r="F53" s="10">
        <v>72.889999000000003</v>
      </c>
      <c r="G53">
        <v>9305600</v>
      </c>
      <c r="H53" s="10">
        <f>IF(tbl_CVX[[#This Row],[Date]]=$A$5, $F53, EMA_Beta*$H52 + (1-EMA_Beta)*$F53)</f>
        <v>74.130098140739491</v>
      </c>
      <c r="I53" s="46">
        <f ca="1">IF(tbl_CVX[[#This Row],[RS]]= "", "", 100-(100/(1+tbl_CVX[[#This Row],[RS]])))</f>
        <v>46.226412835118694</v>
      </c>
      <c r="J53" s="10">
        <f ca="1">IF(ROW($N53)-4&lt;BB_Periods, "", AVERAGE(INDIRECT(ADDRESS(ROW($F53)-RSI_Periods +1, MATCH("Adj Close", Price_Header,0))): INDIRECT(ADDRESS(ROW($F53),MATCH("Adj Close", Price_Header,0)))))</f>
        <v>72.912143142857147</v>
      </c>
      <c r="K53" s="10">
        <f ca="1">IF(tbl_CVX[[#This Row],[BB_Mean]]="", "", tbl_CVX[[#This Row],[BB_Mean]]+(BB_Width*tbl_CVX[[#This Row],[BB_Stdev]]))</f>
        <v>75.505984711899288</v>
      </c>
      <c r="L53" s="10">
        <f ca="1">IF(tbl_CVX[[#This Row],[BB_Mean]]="", "", tbl_CVX[[#This Row],[BB_Mean]]-(BB_Width*tbl_CVX[[#This Row],[BB_Stdev]]))</f>
        <v>70.318301573815006</v>
      </c>
      <c r="M53" s="46">
        <f>IF(ROW(tbl_CVX[[#This Row],[Adj Close]])=5, 0, $F53-$F52)</f>
        <v>-0.62000299999999697</v>
      </c>
      <c r="N53" s="46">
        <f>MAX(tbl_CVX[[#This Row],[Move]],0)</f>
        <v>0</v>
      </c>
      <c r="O53" s="46">
        <f>MAX(-tbl_CVX[[#This Row],[Move]],0)</f>
        <v>0.62000299999999697</v>
      </c>
      <c r="P53" s="46">
        <f ca="1">IF(ROW($N53)-5&lt;RSI_Periods, "", AVERAGE(INDIRECT(ADDRESS(ROW($N53)-RSI_Periods +1, MATCH("Upmove", Price_Header,0))): INDIRECT(ADDRESS(ROW($N53),MATCH("Upmove", Price_Header,0)))))</f>
        <v>0.4550001428571418</v>
      </c>
      <c r="Q53" s="46">
        <f ca="1">IF(ROW($O53)-5&lt;RSI_Periods, "", AVERAGE(INDIRECT(ADDRESS(ROW($O53)-RSI_Periods +1, MATCH("Downmove", Price_Header,0))): INDIRECT(ADDRESS(ROW($O53),MATCH("Downmove", Price_Header,0)))))</f>
        <v>0.52928592857142776</v>
      </c>
      <c r="R53" s="46">
        <f ca="1">IF(tbl_CVX[[#This Row],[Avg_Upmove]]="", "", tbl_CVX[[#This Row],[Avg_Upmove]]/tbl_CVX[[#This Row],[Avg_Downmove]])</f>
        <v>0.8596490446764995</v>
      </c>
      <c r="S53" s="10">
        <f ca="1">IF(ROW($N53)-4&lt;BB_Periods, "", _xlfn.STDEV.S(INDIRECT(ADDRESS(ROW($F53)-RSI_Periods +1, MATCH("Adj Close", Price_Header,0))): INDIRECT(ADDRESS(ROW($F53),MATCH("Adj Close", Price_Header,0)))))</f>
        <v>1.2969207845210677</v>
      </c>
    </row>
    <row r="54" spans="1:19" x14ac:dyDescent="0.35">
      <c r="A54" s="8">
        <v>44123</v>
      </c>
      <c r="B54" s="10">
        <v>73.110000999999997</v>
      </c>
      <c r="C54" s="10">
        <v>73.339995999999999</v>
      </c>
      <c r="D54" s="10">
        <v>71.190002000000007</v>
      </c>
      <c r="E54" s="10">
        <v>71.279999000000004</v>
      </c>
      <c r="F54" s="10">
        <v>71.279999000000004</v>
      </c>
      <c r="G54">
        <v>8357100</v>
      </c>
      <c r="H54" s="10">
        <f>IF(tbl_CVX[[#This Row],[Date]]=$A$5, $F54, EMA_Beta*$H53 + (1-EMA_Beta)*$F54)</f>
        <v>73.845088226665553</v>
      </c>
      <c r="I54" s="46">
        <f ca="1">IF(tbl_CVX[[#This Row],[RS]]= "", "", 100-(100/(1+tbl_CVX[[#This Row],[RS]])))</f>
        <v>47.679630706780323</v>
      </c>
      <c r="J54" s="10">
        <f ca="1">IF(ROW($N54)-4&lt;BB_Periods, "", AVERAGE(INDIRECT(ADDRESS(ROW($F54)-RSI_Periods +1, MATCH("Adj Close", Price_Header,0))): INDIRECT(ADDRESS(ROW($F54),MATCH("Adj Close", Price_Header,0)))))</f>
        <v>72.867857214285706</v>
      </c>
      <c r="K54" s="10">
        <f ca="1">IF(tbl_CVX[[#This Row],[BB_Mean]]="", "", tbl_CVX[[#This Row],[BB_Mean]]+(BB_Width*tbl_CVX[[#This Row],[BB_Stdev]]))</f>
        <v>75.555610246588529</v>
      </c>
      <c r="L54" s="10">
        <f ca="1">IF(tbl_CVX[[#This Row],[BB_Mean]]="", "", tbl_CVX[[#This Row],[BB_Mean]]-(BB_Width*tbl_CVX[[#This Row],[BB_Stdev]]))</f>
        <v>70.180104181982884</v>
      </c>
      <c r="M54" s="46">
        <f>IF(ROW(tbl_CVX[[#This Row],[Adj Close]])=5, 0, $F54-$F53)</f>
        <v>-1.6099999999999994</v>
      </c>
      <c r="N54" s="46">
        <f>MAX(tbl_CVX[[#This Row],[Move]],0)</f>
        <v>0</v>
      </c>
      <c r="O54" s="46">
        <f>MAX(-tbl_CVX[[#This Row],[Move]],0)</f>
        <v>1.6099999999999994</v>
      </c>
      <c r="P54" s="46">
        <f ca="1">IF(ROW($N54)-5&lt;RSI_Periods, "", AVERAGE(INDIRECT(ADDRESS(ROW($N54)-RSI_Periods +1, MATCH("Upmove", Price_Header,0))): INDIRECT(ADDRESS(ROW($N54),MATCH("Upmove", Price_Header,0)))))</f>
        <v>0.4550001428571418</v>
      </c>
      <c r="Q54" s="46">
        <f ca="1">IF(ROW($O54)-5&lt;RSI_Periods, "", AVERAGE(INDIRECT(ADDRESS(ROW($O54)-RSI_Periods +1, MATCH("Downmove", Price_Header,0))): INDIRECT(ADDRESS(ROW($O54),MATCH("Downmove", Price_Header,0)))))</f>
        <v>0.49928607142857018</v>
      </c>
      <c r="R54" s="46">
        <f ca="1">IF(tbl_CVX[[#This Row],[Avg_Upmove]]="", "", tbl_CVX[[#This Row],[Avg_Upmove]]/tbl_CVX[[#This Row],[Avg_Downmove]])</f>
        <v>0.91130149406187855</v>
      </c>
      <c r="S54" s="10">
        <f ca="1">IF(ROW($N54)-4&lt;BB_Periods, "", _xlfn.STDEV.S(INDIRECT(ADDRESS(ROW($F54)-RSI_Periods +1, MATCH("Adj Close", Price_Header,0))): INDIRECT(ADDRESS(ROW($F54),MATCH("Adj Close", Price_Header,0)))))</f>
        <v>1.3438765161514103</v>
      </c>
    </row>
    <row r="55" spans="1:19" x14ac:dyDescent="0.35">
      <c r="A55" s="8">
        <v>44124</v>
      </c>
      <c r="B55" s="10">
        <v>71.91</v>
      </c>
      <c r="C55" s="10">
        <v>72.290000000000006</v>
      </c>
      <c r="D55" s="10">
        <v>71.040000000000006</v>
      </c>
      <c r="E55" s="10">
        <v>71.680000000000007</v>
      </c>
      <c r="F55" s="10">
        <v>71.680000000000007</v>
      </c>
      <c r="G55">
        <v>7753200</v>
      </c>
      <c r="H55" s="10">
        <f>IF(tbl_CVX[[#This Row],[Date]]=$A$5, $F55, EMA_Beta*$H54 + (1-EMA_Beta)*$F55)</f>
        <v>73.628579403998998</v>
      </c>
      <c r="I55" s="46">
        <f ca="1">IF(tbl_CVX[[#This Row],[RS]]= "", "", 100-(100/(1+tbl_CVX[[#This Row],[RS]])))</f>
        <v>48.82869778279813</v>
      </c>
      <c r="J55" s="10">
        <f ca="1">IF(ROW($N55)-4&lt;BB_Periods, "", AVERAGE(INDIRECT(ADDRESS(ROW($F55)-RSI_Periods +1, MATCH("Adj Close", Price_Header,0))): INDIRECT(ADDRESS(ROW($F55),MATCH("Adj Close", Price_Header,0)))))</f>
        <v>72.845000071428558</v>
      </c>
      <c r="K55" s="10">
        <f ca="1">IF(tbl_CVX[[#This Row],[BB_Mean]]="", "", tbl_CVX[[#This Row],[BB_Mean]]+(BB_Width*tbl_CVX[[#This Row],[BB_Stdev]]))</f>
        <v>75.569733933382267</v>
      </c>
      <c r="L55" s="10">
        <f ca="1">IF(tbl_CVX[[#This Row],[BB_Mean]]="", "", tbl_CVX[[#This Row],[BB_Mean]]-(BB_Width*tbl_CVX[[#This Row],[BB_Stdev]]))</f>
        <v>70.120266209474849</v>
      </c>
      <c r="M55" s="46">
        <f>IF(ROW(tbl_CVX[[#This Row],[Adj Close]])=5, 0, $F55-$F54)</f>
        <v>0.40000100000000316</v>
      </c>
      <c r="N55" s="46">
        <f>MAX(tbl_CVX[[#This Row],[Move]],0)</f>
        <v>0.40000100000000316</v>
      </c>
      <c r="O55" s="46">
        <f>MAX(-tbl_CVX[[#This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0.47642892857142777</v>
      </c>
      <c r="Q55" s="46">
        <f ca="1">IF(ROW($O55)-5&lt;RSI_Periods, "", AVERAGE(INDIRECT(ADDRESS(ROW($O55)-RSI_Periods +1, MATCH("Downmove", Price_Header,0))): INDIRECT(ADDRESS(ROW($O55),MATCH("Downmove", Price_Header,0)))))</f>
        <v>0.49928607142857018</v>
      </c>
      <c r="R55" s="46">
        <f ca="1">IF(tbl_CVX[[#This Row],[Avg_Upmove]]="", "", tbl_CVX[[#This Row],[Avg_Upmove]]/tbl_CVX[[#This Row],[Avg_Downmove]])</f>
        <v>0.95422034748186957</v>
      </c>
      <c r="S55" s="10">
        <f ca="1">IF(ROW($N55)-4&lt;BB_Periods, "", _xlfn.STDEV.S(INDIRECT(ADDRESS(ROW($F55)-RSI_Periods +1, MATCH("Adj Close", Price_Header,0))): INDIRECT(ADDRESS(ROW($F55),MATCH("Adj Close", Price_Header,0)))))</f>
        <v>1.3623669309768551</v>
      </c>
    </row>
    <row r="56" spans="1:19" x14ac:dyDescent="0.35">
      <c r="A56" s="8">
        <v>44125</v>
      </c>
      <c r="B56" s="10">
        <v>71.13</v>
      </c>
      <c r="C56" s="10">
        <v>71.58</v>
      </c>
      <c r="D56" s="10">
        <v>70.73</v>
      </c>
      <c r="E56" s="10">
        <v>70.87</v>
      </c>
      <c r="F56" s="10">
        <v>70.87</v>
      </c>
      <c r="G56">
        <v>9800600</v>
      </c>
      <c r="H56" s="10">
        <f>IF(tbl_CVX[[#This Row],[Date]]=$A$5, $F56, EMA_Beta*$H55 + (1-EMA_Beta)*$F56)</f>
        <v>73.35272146359911</v>
      </c>
      <c r="I56" s="46">
        <f ca="1">IF(tbl_CVX[[#This Row],[RS]]= "", "", 100-(100/(1+tbl_CVX[[#This Row],[RS]])))</f>
        <v>51.745545852260129</v>
      </c>
      <c r="J56" s="10">
        <f ca="1">IF(ROW($N56)-4&lt;BB_Periods, "", AVERAGE(INDIRECT(ADDRESS(ROW($F56)-RSI_Periods +1, MATCH("Adj Close", Price_Header,0))): INDIRECT(ADDRESS(ROW($F56),MATCH("Adj Close", Price_Header,0)))))</f>
        <v>72.877143071428563</v>
      </c>
      <c r="K56" s="10">
        <f ca="1">IF(tbl_CVX[[#This Row],[BB_Mean]]="", "", tbl_CVX[[#This Row],[BB_Mean]]+(BB_Width*tbl_CVX[[#This Row],[BB_Stdev]]))</f>
        <v>75.486834673100759</v>
      </c>
      <c r="L56" s="10">
        <f ca="1">IF(tbl_CVX[[#This Row],[BB_Mean]]="", "", tbl_CVX[[#This Row],[BB_Mean]]-(BB_Width*tbl_CVX[[#This Row],[BB_Stdev]]))</f>
        <v>70.267451469756367</v>
      </c>
      <c r="M56" s="46">
        <f>IF(ROW(tbl_CVX[[#This Row],[Adj Close]])=5, 0, $F56-$F55)</f>
        <v>-0.81000000000000227</v>
      </c>
      <c r="N56" s="46">
        <f>MAX(tbl_CVX[[#This Row],[Move]],0)</f>
        <v>0</v>
      </c>
      <c r="O56" s="46">
        <f>MAX(-tbl_CVX[[#This Row],[Move]],0)</f>
        <v>0.81000000000000227</v>
      </c>
      <c r="P56" s="46">
        <f ca="1">IF(ROW($N56)-5&lt;RSI_Periods, "", AVERAGE(INDIRECT(ADDRESS(ROW($N56)-RSI_Periods +1, MATCH("Upmove", Price_Header,0))): INDIRECT(ADDRESS(ROW($N56),MATCH("Upmove", Price_Header,0)))))</f>
        <v>0.47642892857142777</v>
      </c>
      <c r="Q56" s="46">
        <f ca="1">IF(ROW($O56)-5&lt;RSI_Periods, "", AVERAGE(INDIRECT(ADDRESS(ROW($O56)-RSI_Periods +1, MATCH("Downmove", Price_Header,0))): INDIRECT(ADDRESS(ROW($O56),MATCH("Downmove", Price_Header,0)))))</f>
        <v>0.44428592857142796</v>
      </c>
      <c r="R56" s="46">
        <f ca="1">IF(tbl_CVX[[#This Row],[Avg_Upmove]]="", "", tbl_CVX[[#This Row],[Avg_Upmove]]/tbl_CVX[[#This Row],[Avg_Downmove]])</f>
        <v>1.0723475535301186</v>
      </c>
      <c r="S56" s="10">
        <f ca="1">IF(ROW($N56)-4&lt;BB_Periods, "", _xlfn.STDEV.S(INDIRECT(ADDRESS(ROW($F56)-RSI_Periods +1, MATCH("Adj Close", Price_Header,0))): INDIRECT(ADDRESS(ROW($F56),MATCH("Adj Close", Price_Header,0)))))</f>
        <v>1.3048458008361001</v>
      </c>
    </row>
    <row r="57" spans="1:19" x14ac:dyDescent="0.35">
      <c r="A57" s="8">
        <v>44126</v>
      </c>
      <c r="B57" s="10">
        <v>70.88</v>
      </c>
      <c r="C57" s="10">
        <v>73.489999999999995</v>
      </c>
      <c r="D57" s="10">
        <v>70.569999999999993</v>
      </c>
      <c r="E57" s="10">
        <v>73.400000000000006</v>
      </c>
      <c r="F57" s="10">
        <v>73.400000000000006</v>
      </c>
      <c r="G57">
        <v>9810100</v>
      </c>
      <c r="H57" s="10">
        <f>IF(tbl_CVX[[#This Row],[Date]]=$A$5, $F57, EMA_Beta*$H56 + (1-EMA_Beta)*$F57)</f>
        <v>73.357449317239201</v>
      </c>
      <c r="I57" s="46">
        <f ca="1">IF(tbl_CVX[[#This Row],[RS]]= "", "", 100-(100/(1+tbl_CVX[[#This Row],[RS]])))</f>
        <v>57.542653230674894</v>
      </c>
      <c r="J57" s="10">
        <f ca="1">IF(ROW($N57)-4&lt;BB_Periods, "", AVERAGE(INDIRECT(ADDRESS(ROW($F57)-RSI_Periods +1, MATCH("Adj Close", Price_Header,0))): INDIRECT(ADDRESS(ROW($F57),MATCH("Adj Close", Price_Header,0)))))</f>
        <v>73.03500007142857</v>
      </c>
      <c r="K57" s="10">
        <f ca="1">IF(tbl_CVX[[#This Row],[BB_Mean]]="", "", tbl_CVX[[#This Row],[BB_Mean]]+(BB_Width*tbl_CVX[[#This Row],[BB_Stdev]]))</f>
        <v>75.466344368791837</v>
      </c>
      <c r="L57" s="10">
        <f ca="1">IF(tbl_CVX[[#This Row],[BB_Mean]]="", "", tbl_CVX[[#This Row],[BB_Mean]]-(BB_Width*tbl_CVX[[#This Row],[BB_Stdev]]))</f>
        <v>70.603655774065302</v>
      </c>
      <c r="M57" s="46">
        <f>IF(ROW(tbl_CVX[[#This Row],[Adj Close]])=5, 0, $F57-$F56)</f>
        <v>2.5300000000000011</v>
      </c>
      <c r="N57" s="46">
        <f>MAX(tbl_CVX[[#This Row],[Move]],0)</f>
        <v>2.5300000000000011</v>
      </c>
      <c r="O57" s="46">
        <f>MAX(-tbl_CVX[[#This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0.60214292857142782</v>
      </c>
      <c r="Q57" s="46">
        <f ca="1">IF(ROW($O57)-5&lt;RSI_Periods, "", AVERAGE(INDIRECT(ADDRESS(ROW($O57)-RSI_Periods +1, MATCH("Downmove", Price_Header,0))): INDIRECT(ADDRESS(ROW($O57),MATCH("Downmove", Price_Header,0)))))</f>
        <v>0.44428592857142796</v>
      </c>
      <c r="R57" s="46">
        <f ca="1">IF(tbl_CVX[[#This Row],[Avg_Upmove]]="", "", tbl_CVX[[#This Row],[Avg_Upmove]]/tbl_CVX[[#This Row],[Avg_Downmove]])</f>
        <v>1.3553049733255758</v>
      </c>
      <c r="S57" s="10">
        <f ca="1">IF(ROW($N57)-4&lt;BB_Periods, "", _xlfn.STDEV.S(INDIRECT(ADDRESS(ROW($F57)-RSI_Periods +1, MATCH("Adj Close", Price_Header,0))): INDIRECT(ADDRESS(ROW($F57),MATCH("Adj Close", Price_Header,0)))))</f>
        <v>1.215672148681634</v>
      </c>
    </row>
    <row r="58" spans="1:19" x14ac:dyDescent="0.35">
      <c r="A58" s="8">
        <v>44127</v>
      </c>
      <c r="B58" s="10">
        <v>73.930000000000007</v>
      </c>
      <c r="C58" s="10">
        <v>74.36</v>
      </c>
      <c r="D58" s="10">
        <v>71.83</v>
      </c>
      <c r="E58" s="10">
        <v>72.569999999999993</v>
      </c>
      <c r="F58" s="10">
        <v>72.569999999999993</v>
      </c>
      <c r="G58">
        <v>8727200</v>
      </c>
      <c r="H58" s="10">
        <f>IF(tbl_CVX[[#This Row],[Date]]=$A$5, $F58, EMA_Beta*$H57 + (1-EMA_Beta)*$F58)</f>
        <v>73.278704385515283</v>
      </c>
      <c r="I58" s="46">
        <f ca="1">IF(tbl_CVX[[#This Row],[RS]]= "", "", 100-(100/(1+tbl_CVX[[#This Row],[RS]])))</f>
        <v>49.534728288292428</v>
      </c>
      <c r="J58" s="10">
        <f ca="1">IF(ROW($N58)-4&lt;BB_Periods, "", AVERAGE(INDIRECT(ADDRESS(ROW($F58)-RSI_Periods +1, MATCH("Adj Close", Price_Header,0))): INDIRECT(ADDRESS(ROW($F58),MATCH("Adj Close", Price_Header,0)))))</f>
        <v>73.025714571428566</v>
      </c>
      <c r="K58" s="10">
        <f ca="1">IF(tbl_CVX[[#This Row],[BB_Mean]]="", "", tbl_CVX[[#This Row],[BB_Mean]]+(BB_Width*tbl_CVX[[#This Row],[BB_Stdev]]))</f>
        <v>75.463554407870234</v>
      </c>
      <c r="L58" s="10">
        <f ca="1">IF(tbl_CVX[[#This Row],[BB_Mean]]="", "", tbl_CVX[[#This Row],[BB_Mean]]-(BB_Width*tbl_CVX[[#This Row],[BB_Stdev]]))</f>
        <v>70.587874734986897</v>
      </c>
      <c r="M58" s="46">
        <f>IF(ROW(tbl_CVX[[#This Row],[Adj Close]])=5, 0, $F58-$F57)</f>
        <v>-0.83000000000001251</v>
      </c>
      <c r="N58" s="46">
        <f>MAX(tbl_CVX[[#This Row],[Move]],0)</f>
        <v>0</v>
      </c>
      <c r="O58" s="46">
        <f>MAX(-tbl_CVX[[#This Row],[Move]],0)</f>
        <v>0.83000000000001251</v>
      </c>
      <c r="P58" s="46">
        <f ca="1">IF(ROW($N58)-5&lt;RSI_Periods, "", AVERAGE(INDIRECT(ADDRESS(ROW($N58)-RSI_Periods +1, MATCH("Upmove", Price_Header,0))): INDIRECT(ADDRESS(ROW($N58),MATCH("Upmove", Price_Header,0)))))</f>
        <v>0.4942861428571429</v>
      </c>
      <c r="Q58" s="46">
        <f ca="1">IF(ROW($O58)-5&lt;RSI_Periods, "", AVERAGE(INDIRECT(ADDRESS(ROW($O58)-RSI_Periods +1, MATCH("Downmove", Price_Header,0))): INDIRECT(ADDRESS(ROW($O58),MATCH("Downmove", Price_Header,0)))))</f>
        <v>0.50357164285714318</v>
      </c>
      <c r="R58" s="46">
        <f ca="1">IF(tbl_CVX[[#This Row],[Avg_Upmove]]="", "", tbl_CVX[[#This Row],[Avg_Upmove]]/tbl_CVX[[#This Row],[Avg_Downmove]])</f>
        <v>0.98156071706636094</v>
      </c>
      <c r="S58" s="10">
        <f ca="1">IF(ROW($N58)-4&lt;BB_Periods, "", _xlfn.STDEV.S(INDIRECT(ADDRESS(ROW($F58)-RSI_Periods +1, MATCH("Adj Close", Price_Header,0))): INDIRECT(ADDRESS(ROW($F58),MATCH("Adj Close", Price_Header,0)))))</f>
        <v>1.2189199182208363</v>
      </c>
    </row>
    <row r="59" spans="1:19" x14ac:dyDescent="0.35">
      <c r="A59" s="8">
        <v>44130</v>
      </c>
      <c r="B59" s="10">
        <v>71.73</v>
      </c>
      <c r="C59" s="10">
        <v>71.89</v>
      </c>
      <c r="D59" s="10">
        <v>70.239999999999995</v>
      </c>
      <c r="E59" s="10">
        <v>70.94</v>
      </c>
      <c r="F59" s="10">
        <v>70.94</v>
      </c>
      <c r="G59">
        <v>9710900</v>
      </c>
      <c r="H59" s="10">
        <f>IF(tbl_CVX[[#This Row],[Date]]=$A$5, $F59, EMA_Beta*$H58 + (1-EMA_Beta)*$F59)</f>
        <v>73.044833946963749</v>
      </c>
      <c r="I59" s="46">
        <f ca="1">IF(tbl_CVX[[#This Row],[RS]]= "", "", 100-(100/(1+tbl_CVX[[#This Row],[RS]])))</f>
        <v>45.526310335877938</v>
      </c>
      <c r="J59" s="10">
        <f ca="1">IF(ROW($N59)-4&lt;BB_Periods, "", AVERAGE(INDIRECT(ADDRESS(ROW($F59)-RSI_Periods +1, MATCH("Adj Close", Price_Header,0))): INDIRECT(ADDRESS(ROW($F59),MATCH("Adj Close", Price_Header,0)))))</f>
        <v>72.92857149999999</v>
      </c>
      <c r="K59" s="10">
        <f ca="1">IF(tbl_CVX[[#This Row],[BB_Mean]]="", "", tbl_CVX[[#This Row],[BB_Mean]]+(BB_Width*tbl_CVX[[#This Row],[BB_Stdev]]))</f>
        <v>75.589189594263829</v>
      </c>
      <c r="L59" s="10">
        <f ca="1">IF(tbl_CVX[[#This Row],[BB_Mean]]="", "", tbl_CVX[[#This Row],[BB_Mean]]-(BB_Width*tbl_CVX[[#This Row],[BB_Stdev]]))</f>
        <v>70.267953405736151</v>
      </c>
      <c r="M59" s="46">
        <f>IF(ROW(tbl_CVX[[#This Row],[Adj Close]])=5, 0, $F59-$F58)</f>
        <v>-1.6299999999999955</v>
      </c>
      <c r="N59" s="46">
        <f>MAX(tbl_CVX[[#This Row],[Move]],0)</f>
        <v>0</v>
      </c>
      <c r="O59" s="46">
        <f>MAX(-tbl_CVX[[#This Row],[Move]],0)</f>
        <v>1.6299999999999955</v>
      </c>
      <c r="P59" s="46">
        <f ca="1">IF(ROW($N59)-5&lt;RSI_Periods, "", AVERAGE(INDIRECT(ADDRESS(ROW($N59)-RSI_Periods +1, MATCH("Upmove", Price_Header,0))): INDIRECT(ADDRESS(ROW($N59),MATCH("Upmove", Price_Header,0)))))</f>
        <v>0.4942861428571429</v>
      </c>
      <c r="Q59" s="46">
        <f ca="1">IF(ROW($O59)-5&lt;RSI_Periods, "", AVERAGE(INDIRECT(ADDRESS(ROW($O59)-RSI_Periods +1, MATCH("Downmove", Price_Header,0))): INDIRECT(ADDRESS(ROW($O59),MATCH("Downmove", Price_Header,0)))))</f>
        <v>0.59142921428571482</v>
      </c>
      <c r="R59" s="46">
        <f ca="1">IF(tbl_CVX[[#This Row],[Avg_Upmove]]="", "", tbl_CVX[[#This Row],[Avg_Upmove]]/tbl_CVX[[#This Row],[Avg_Downmove]])</f>
        <v>0.83574860848581134</v>
      </c>
      <c r="S59" s="10">
        <f ca="1">IF(ROW($N59)-4&lt;BB_Periods, "", _xlfn.STDEV.S(INDIRECT(ADDRESS(ROW($F59)-RSI_Periods +1, MATCH("Adj Close", Price_Header,0))): INDIRECT(ADDRESS(ROW($F59),MATCH("Adj Close", Price_Header,0)))))</f>
        <v>1.3303090471319192</v>
      </c>
    </row>
    <row r="60" spans="1:19" x14ac:dyDescent="0.35">
      <c r="A60" s="8">
        <v>44131</v>
      </c>
      <c r="B60" s="10">
        <v>70.42</v>
      </c>
      <c r="C60" s="10">
        <v>70.599999999999994</v>
      </c>
      <c r="D60" s="10">
        <v>69.489999999999995</v>
      </c>
      <c r="E60" s="10">
        <v>69.510000000000005</v>
      </c>
      <c r="F60" s="10">
        <v>69.510000000000005</v>
      </c>
      <c r="G60">
        <v>14251700</v>
      </c>
      <c r="H60" s="10">
        <f>IF(tbl_CVX[[#This Row],[Date]]=$A$5, $F60, EMA_Beta*$H59 + (1-EMA_Beta)*$F60)</f>
        <v>72.691350552267366</v>
      </c>
      <c r="I60" s="46">
        <f ca="1">IF(tbl_CVX[[#This Row],[RS]]= "", "", 100-(100/(1+tbl_CVX[[#This Row],[RS]])))</f>
        <v>35.90761173302819</v>
      </c>
      <c r="J60" s="10">
        <f ca="1">IF(ROW($N60)-4&lt;BB_Periods, "", AVERAGE(INDIRECT(ADDRESS(ROW($F60)-RSI_Periods +1, MATCH("Adj Close", Price_Header,0))): INDIRECT(ADDRESS(ROW($F60),MATCH("Adj Close", Price_Header,0)))))</f>
        <v>72.62357157142857</v>
      </c>
      <c r="K60" s="10">
        <f ca="1">IF(tbl_CVX[[#This Row],[BB_Mean]]="", "", tbl_CVX[[#This Row],[BB_Mean]]+(BB_Width*tbl_CVX[[#This Row],[BB_Stdev]]))</f>
        <v>75.793902348362124</v>
      </c>
      <c r="L60" s="10">
        <f ca="1">IF(tbl_CVX[[#This Row],[BB_Mean]]="", "", tbl_CVX[[#This Row],[BB_Mean]]-(BB_Width*tbl_CVX[[#This Row],[BB_Stdev]]))</f>
        <v>69.453240794495017</v>
      </c>
      <c r="M60" s="46">
        <f>IF(ROW(tbl_CVX[[#This Row],[Adj Close]])=5, 0, $F60-$F59)</f>
        <v>-1.4299999999999926</v>
      </c>
      <c r="N60" s="46">
        <f>MAX(tbl_CVX[[#This Row],[Move]],0)</f>
        <v>0</v>
      </c>
      <c r="O60" s="46">
        <f>MAX(-tbl_CVX[[#This Row],[Move]],0)</f>
        <v>1.4299999999999926</v>
      </c>
      <c r="P60" s="46">
        <f ca="1">IF(ROW($N60)-5&lt;RSI_Periods, "", AVERAGE(INDIRECT(ADDRESS(ROW($N60)-RSI_Periods +1, MATCH("Upmove", Price_Header,0))): INDIRECT(ADDRESS(ROW($N60),MATCH("Upmove", Price_Header,0)))))</f>
        <v>0.38857214285714292</v>
      </c>
      <c r="Q60" s="46">
        <f ca="1">IF(ROW($O60)-5&lt;RSI_Periods, "", AVERAGE(INDIRECT(ADDRESS(ROW($O60)-RSI_Periods +1, MATCH("Downmove", Price_Header,0))): INDIRECT(ADDRESS(ROW($O60),MATCH("Downmove", Price_Header,0)))))</f>
        <v>0.69357207142857136</v>
      </c>
      <c r="R60" s="46">
        <f ca="1">IF(tbl_CVX[[#This Row],[Avg_Upmove]]="", "", tbl_CVX[[#This Row],[Avg_Upmove]]/tbl_CVX[[#This Row],[Avg_Downmove]])</f>
        <v>0.56024767845220347</v>
      </c>
      <c r="S60" s="10">
        <f ca="1">IF(ROW($N60)-4&lt;BB_Periods, "", _xlfn.STDEV.S(INDIRECT(ADDRESS(ROW($F60)-RSI_Periods +1, MATCH("Adj Close", Price_Header,0))): INDIRECT(ADDRESS(ROW($F60),MATCH("Adj Close", Price_Header,0)))))</f>
        <v>1.5851653884667767</v>
      </c>
    </row>
    <row r="61" spans="1:19" x14ac:dyDescent="0.35">
      <c r="A61" s="8">
        <v>44132</v>
      </c>
      <c r="B61" s="10">
        <v>67.69</v>
      </c>
      <c r="C61" s="10">
        <v>68.08</v>
      </c>
      <c r="D61" s="10">
        <v>66.33</v>
      </c>
      <c r="E61" s="10">
        <v>66.88</v>
      </c>
      <c r="F61" s="10">
        <v>66.88</v>
      </c>
      <c r="G61">
        <v>15961900</v>
      </c>
      <c r="H61" s="10">
        <f>IF(tbl_CVX[[#This Row],[Date]]=$A$5, $F61, EMA_Beta*$H60 + (1-EMA_Beta)*$F61)</f>
        <v>72.110215497040627</v>
      </c>
      <c r="I61" s="46">
        <f ca="1">IF(tbl_CVX[[#This Row],[RS]]= "", "", 100-(100/(1+tbl_CVX[[#This Row],[RS]])))</f>
        <v>24.479827652566115</v>
      </c>
      <c r="J61" s="10">
        <f ca="1">IF(ROW($N61)-4&lt;BB_Periods, "", AVERAGE(INDIRECT(ADDRESS(ROW($F61)-RSI_Periods +1, MATCH("Adj Close", Price_Header,0))): INDIRECT(ADDRESS(ROW($F61),MATCH("Adj Close", Price_Header,0)))))</f>
        <v>72.027857214285703</v>
      </c>
      <c r="K61" s="10">
        <f ca="1">IF(tbl_CVX[[#This Row],[BB_Mean]]="", "", tbl_CVX[[#This Row],[BB_Mean]]+(BB_Width*tbl_CVX[[#This Row],[BB_Stdev]]))</f>
        <v>76.101964999521797</v>
      </c>
      <c r="L61" s="10">
        <f ca="1">IF(tbl_CVX[[#This Row],[BB_Mean]]="", "", tbl_CVX[[#This Row],[BB_Mean]]-(BB_Width*tbl_CVX[[#This Row],[BB_Stdev]]))</f>
        <v>67.953749429049608</v>
      </c>
      <c r="M61" s="46">
        <f>IF(ROW(tbl_CVX[[#This Row],[Adj Close]])=5, 0, $F61-$F60)</f>
        <v>-2.6300000000000097</v>
      </c>
      <c r="N61" s="46">
        <f>MAX(tbl_CVX[[#This Row],[Move]],0)</f>
        <v>0</v>
      </c>
      <c r="O61" s="46">
        <f>MAX(-tbl_CVX[[#This Row],[Move]],0)</f>
        <v>2.6300000000000097</v>
      </c>
      <c r="P61" s="46">
        <f ca="1">IF(ROW($N61)-5&lt;RSI_Periods, "", AVERAGE(INDIRECT(ADDRESS(ROW($N61)-RSI_Periods +1, MATCH("Upmove", Price_Header,0))): INDIRECT(ADDRESS(ROW($N61),MATCH("Upmove", Price_Header,0)))))</f>
        <v>0.28571485714285771</v>
      </c>
      <c r="Q61" s="46">
        <f ca="1">IF(ROW($O61)-5&lt;RSI_Periods, "", AVERAGE(INDIRECT(ADDRESS(ROW($O61)-RSI_Periods +1, MATCH("Downmove", Price_Header,0))): INDIRECT(ADDRESS(ROW($O61),MATCH("Downmove", Price_Header,0)))))</f>
        <v>0.88142921428571497</v>
      </c>
      <c r="R61" s="46">
        <f ca="1">IF(tbl_CVX[[#This Row],[Avg_Upmove]]="", "", tbl_CVX[[#This Row],[Avg_Upmove]]/tbl_CVX[[#This Row],[Avg_Downmove]])</f>
        <v>0.3241495204744182</v>
      </c>
      <c r="S61" s="10">
        <f ca="1">IF(ROW($N61)-4&lt;BB_Periods, "", _xlfn.STDEV.S(INDIRECT(ADDRESS(ROW($F61)-RSI_Periods +1, MATCH("Adj Close", Price_Header,0))): INDIRECT(ADDRESS(ROW($F61),MATCH("Adj Close", Price_Header,0)))))</f>
        <v>2.0370538926180464</v>
      </c>
    </row>
    <row r="62" spans="1:19" x14ac:dyDescent="0.35">
      <c r="A62" s="8">
        <v>44133</v>
      </c>
      <c r="B62" s="10">
        <v>66.13</v>
      </c>
      <c r="C62" s="10">
        <v>69.14</v>
      </c>
      <c r="D62" s="10">
        <v>65.16</v>
      </c>
      <c r="E62" s="10">
        <v>68.8</v>
      </c>
      <c r="F62" s="10">
        <v>68.8</v>
      </c>
      <c r="G62">
        <v>12292200</v>
      </c>
      <c r="H62" s="10">
        <f>IF(tbl_CVX[[#This Row],[Date]]=$A$5, $F62, EMA_Beta*$H61 + (1-EMA_Beta)*$F62)</f>
        <v>71.779193947336566</v>
      </c>
      <c r="I62" s="46">
        <f ca="1">IF(tbl_CVX[[#This Row],[RS]]= "", "", 100-(100/(1+tbl_CVX[[#This Row],[RS]])))</f>
        <v>34.741798364508583</v>
      </c>
      <c r="J62" s="10">
        <f ca="1">IF(ROW($N62)-4&lt;BB_Periods, "", AVERAGE(INDIRECT(ADDRESS(ROW($F62)-RSI_Periods +1, MATCH("Adj Close", Price_Header,0))): INDIRECT(ADDRESS(ROW($F62),MATCH("Adj Close", Price_Header,0)))))</f>
        <v>71.656428642857151</v>
      </c>
      <c r="K62" s="10">
        <f ca="1">IF(tbl_CVX[[#This Row],[BB_Mean]]="", "", tbl_CVX[[#This Row],[BB_Mean]]+(BB_Width*tbl_CVX[[#This Row],[BB_Stdev]]))</f>
        <v>75.900626048392141</v>
      </c>
      <c r="L62" s="10">
        <f ca="1">IF(tbl_CVX[[#This Row],[BB_Mean]]="", "", tbl_CVX[[#This Row],[BB_Mean]]-(BB_Width*tbl_CVX[[#This Row],[BB_Stdev]]))</f>
        <v>67.41223123732216</v>
      </c>
      <c r="M62" s="46">
        <f>IF(ROW(tbl_CVX[[#This Row],[Adj Close]])=5, 0, $F62-$F61)</f>
        <v>1.9200000000000017</v>
      </c>
      <c r="N62" s="46">
        <f>MAX(tbl_CVX[[#This Row],[Move]],0)</f>
        <v>1.9200000000000017</v>
      </c>
      <c r="O62" s="46">
        <f>MAX(-tbl_CVX[[#This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0.422857714285715</v>
      </c>
      <c r="Q62" s="46">
        <f ca="1">IF(ROW($O62)-5&lt;RSI_Periods, "", AVERAGE(INDIRECT(ADDRESS(ROW($O62)-RSI_Periods +1, MATCH("Downmove", Price_Header,0))): INDIRECT(ADDRESS(ROW($O62),MATCH("Downmove", Price_Header,0)))))</f>
        <v>0.79428628571428661</v>
      </c>
      <c r="R62" s="46">
        <f ca="1">IF(tbl_CVX[[#This Row],[Avg_Upmove]]="", "", tbl_CVX[[#This Row],[Avg_Upmove]]/tbl_CVX[[#This Row],[Avg_Downmove]])</f>
        <v>0.53237443714069299</v>
      </c>
      <c r="S62" s="10">
        <f ca="1">IF(ROW($N62)-4&lt;BB_Periods, "", _xlfn.STDEV.S(INDIRECT(ADDRESS(ROW($F62)-RSI_Periods +1, MATCH("Adj Close", Price_Header,0))): INDIRECT(ADDRESS(ROW($F62),MATCH("Adj Close", Price_Header,0)))))</f>
        <v>2.1220987027674942</v>
      </c>
    </row>
    <row r="63" spans="1:19" x14ac:dyDescent="0.35">
      <c r="A63" s="8">
        <v>44134</v>
      </c>
      <c r="B63" s="10">
        <v>69.900000000000006</v>
      </c>
      <c r="C63" s="10">
        <v>70.11</v>
      </c>
      <c r="D63" s="10">
        <v>68.08</v>
      </c>
      <c r="E63" s="10">
        <v>69.5</v>
      </c>
      <c r="F63" s="10">
        <v>69.5</v>
      </c>
      <c r="G63">
        <v>17191600</v>
      </c>
      <c r="H63" s="10">
        <f>IF(tbl_CVX[[#This Row],[Date]]=$A$5, $F63, EMA_Beta*$H62 + (1-EMA_Beta)*$F63)</f>
        <v>71.551274552602919</v>
      </c>
      <c r="I63" s="46">
        <f ca="1">IF(tbl_CVX[[#This Row],[RS]]= "", "", 100-(100/(1+tbl_CVX[[#This Row],[RS]])))</f>
        <v>35.461410536288611</v>
      </c>
      <c r="J63" s="10">
        <f ca="1">IF(ROW($N63)-4&lt;BB_Periods, "", AVERAGE(INDIRECT(ADDRESS(ROW($F63)-RSI_Periods +1, MATCH("Adj Close", Price_Header,0))): INDIRECT(ADDRESS(ROW($F63),MATCH("Adj Close", Price_Header,0)))))</f>
        <v>71.298571357142862</v>
      </c>
      <c r="K63" s="10">
        <f ca="1">IF(tbl_CVX[[#This Row],[BB_Mean]]="", "", tbl_CVX[[#This Row],[BB_Mean]]+(BB_Width*tbl_CVX[[#This Row],[BB_Stdev]]))</f>
        <v>75.346643096615608</v>
      </c>
      <c r="L63" s="10">
        <f ca="1">IF(tbl_CVX[[#This Row],[BB_Mean]]="", "", tbl_CVX[[#This Row],[BB_Mean]]-(BB_Width*tbl_CVX[[#This Row],[BB_Stdev]]))</f>
        <v>67.250499617670116</v>
      </c>
      <c r="M63" s="46">
        <f>IF(ROW(tbl_CVX[[#This Row],[Adj Close]])=5, 0, $F63-$F62)</f>
        <v>0.70000000000000284</v>
      </c>
      <c r="N63" s="46">
        <f>MAX(tbl_CVX[[#This Row],[Move]],0)</f>
        <v>0.70000000000000284</v>
      </c>
      <c r="O63" s="46">
        <f>MAX(-tbl_CVX[[#This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0.4364290000000009</v>
      </c>
      <c r="Q63" s="46">
        <f ca="1">IF(ROW($O63)-5&lt;RSI_Periods, "", AVERAGE(INDIRECT(ADDRESS(ROW($O63)-RSI_Periods +1, MATCH("Downmove", Price_Header,0))): INDIRECT(ADDRESS(ROW($O63),MATCH("Downmove", Price_Header,0)))))</f>
        <v>0.79428628571428661</v>
      </c>
      <c r="R63" s="46">
        <f ca="1">IF(tbl_CVX[[#This Row],[Avg_Upmove]]="", "", tbl_CVX[[#This Row],[Avg_Upmove]]/tbl_CVX[[#This Row],[Avg_Downmove]])</f>
        <v>0.54946057592764375</v>
      </c>
      <c r="S63" s="10">
        <f ca="1">IF(ROW($N63)-4&lt;BB_Periods, "", _xlfn.STDEV.S(INDIRECT(ADDRESS(ROW($F63)-RSI_Periods +1, MATCH("Adj Close", Price_Header,0))): INDIRECT(ADDRESS(ROW($F63),MATCH("Adj Close", Price_Header,0)))))</f>
        <v>2.0240358697363745</v>
      </c>
    </row>
    <row r="64" spans="1:19" x14ac:dyDescent="0.35">
      <c r="A64" s="8">
        <v>44137</v>
      </c>
      <c r="B64" s="10">
        <v>70.7</v>
      </c>
      <c r="C64" s="10">
        <v>73.08</v>
      </c>
      <c r="D64" s="10">
        <v>69.400000000000006</v>
      </c>
      <c r="E64" s="10">
        <v>72.150000000000006</v>
      </c>
      <c r="F64" s="10">
        <v>72.150000000000006</v>
      </c>
      <c r="G64">
        <v>11475500</v>
      </c>
      <c r="H64" s="10">
        <f>IF(tbl_CVX[[#This Row],[Date]]=$A$5, $F64, EMA_Beta*$H63 + (1-EMA_Beta)*$F64)</f>
        <v>71.611147097342638</v>
      </c>
      <c r="I64" s="46">
        <f ca="1">IF(tbl_CVX[[#This Row],[RS]]= "", "", 100-(100/(1+tbl_CVX[[#This Row],[RS]])))</f>
        <v>46.670215589610123</v>
      </c>
      <c r="J64" s="10">
        <f ca="1">IF(ROW($N64)-4&lt;BB_Periods, "", AVERAGE(INDIRECT(ADDRESS(ROW($F64)-RSI_Periods +1, MATCH("Adj Close", Price_Header,0))): INDIRECT(ADDRESS(ROW($F64),MATCH("Adj Close", Price_Header,0)))))</f>
        <v>71.209285499999993</v>
      </c>
      <c r="K64" s="10">
        <f ca="1">IF(tbl_CVX[[#This Row],[BB_Mean]]="", "", tbl_CVX[[#This Row],[BB_Mean]]+(BB_Width*tbl_CVX[[#This Row],[BB_Stdev]]))</f>
        <v>75.110160672528949</v>
      </c>
      <c r="L64" s="10">
        <f ca="1">IF(tbl_CVX[[#This Row],[BB_Mean]]="", "", tbl_CVX[[#This Row],[BB_Mean]]-(BB_Width*tbl_CVX[[#This Row],[BB_Stdev]]))</f>
        <v>67.308410327471037</v>
      </c>
      <c r="M64" s="46">
        <f>IF(ROW(tbl_CVX[[#This Row],[Adj Close]])=5, 0, $F64-$F63)</f>
        <v>2.6500000000000057</v>
      </c>
      <c r="N64" s="46">
        <f>MAX(tbl_CVX[[#This Row],[Move]],0)</f>
        <v>2.6500000000000057</v>
      </c>
      <c r="O64" s="46">
        <f>MAX(-tbl_CVX[[#This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0.62571471428571557</v>
      </c>
      <c r="Q64" s="46">
        <f ca="1">IF(ROW($O64)-5&lt;RSI_Periods, "", AVERAGE(INDIRECT(ADDRESS(ROW($O64)-RSI_Periods +1, MATCH("Downmove", Price_Header,0))): INDIRECT(ADDRESS(ROW($O64),MATCH("Downmove", Price_Header,0)))))</f>
        <v>0.71500057142857243</v>
      </c>
      <c r="R64" s="46">
        <f ca="1">IF(tbl_CVX[[#This Row],[Avg_Upmove]]="", "", tbl_CVX[[#This Row],[Avg_Upmove]]/tbl_CVX[[#This Row],[Avg_Downmove]])</f>
        <v>0.87512477512505538</v>
      </c>
      <c r="S64" s="10">
        <f ca="1">IF(ROW($N64)-4&lt;BB_Periods, "", _xlfn.STDEV.S(INDIRECT(ADDRESS(ROW($F64)-RSI_Periods +1, MATCH("Adj Close", Price_Header,0))): INDIRECT(ADDRESS(ROW($F64),MATCH("Adj Close", Price_Header,0)))))</f>
        <v>1.9504375862644763</v>
      </c>
    </row>
    <row r="65" spans="1:19" x14ac:dyDescent="0.35">
      <c r="A65" s="8">
        <v>44138</v>
      </c>
      <c r="B65" s="10">
        <v>73.16</v>
      </c>
      <c r="C65" s="10">
        <v>73.3</v>
      </c>
      <c r="D65" s="10">
        <v>71.05</v>
      </c>
      <c r="E65" s="10">
        <v>71.739999999999995</v>
      </c>
      <c r="F65" s="10">
        <v>71.739999999999995</v>
      </c>
      <c r="G65">
        <v>8608000</v>
      </c>
      <c r="H65" s="10">
        <f>IF(tbl_CVX[[#This Row],[Date]]=$A$5, $F65, EMA_Beta*$H64 + (1-EMA_Beta)*$F65)</f>
        <v>71.624032387608366</v>
      </c>
      <c r="I65" s="46">
        <f ca="1">IF(tbl_CVX[[#This Row],[RS]]= "", "", 100-(100/(1+tbl_CVX[[#This Row],[RS]])))</f>
        <v>46.769897441053025</v>
      </c>
      <c r="J65" s="10">
        <f ca="1">IF(ROW($N65)-4&lt;BB_Periods, "", AVERAGE(INDIRECT(ADDRESS(ROW($F65)-RSI_Periods +1, MATCH("Adj Close", Price_Header,0))): INDIRECT(ADDRESS(ROW($F65),MATCH("Adj Close", Price_Header,0)))))</f>
        <v>71.122857142857143</v>
      </c>
      <c r="K65" s="10">
        <f ca="1">IF(tbl_CVX[[#This Row],[BB_Mean]]="", "", tbl_CVX[[#This Row],[BB_Mean]]+(BB_Width*tbl_CVX[[#This Row],[BB_Stdev]]))</f>
        <v>74.909541969143618</v>
      </c>
      <c r="L65" s="10">
        <f ca="1">IF(tbl_CVX[[#This Row],[BB_Mean]]="", "", tbl_CVX[[#This Row],[BB_Mean]]-(BB_Width*tbl_CVX[[#This Row],[BB_Stdev]]))</f>
        <v>67.336172316570668</v>
      </c>
      <c r="M65" s="46">
        <f>IF(ROW(tbl_CVX[[#This Row],[Adj Close]])=5, 0, $F65-$F64)</f>
        <v>-0.4100000000000108</v>
      </c>
      <c r="N65" s="46">
        <f>MAX(tbl_CVX[[#This Row],[Move]],0)</f>
        <v>0</v>
      </c>
      <c r="O65" s="46">
        <f>MAX(-tbl_CVX[[#This Row],[Move]],0)</f>
        <v>0.4100000000000108</v>
      </c>
      <c r="P65" s="46">
        <f ca="1">IF(ROW($N65)-5&lt;RSI_Periods, "", AVERAGE(INDIRECT(ADDRESS(ROW($N65)-RSI_Periods +1, MATCH("Upmove", Price_Header,0))): INDIRECT(ADDRESS(ROW($N65),MATCH("Upmove", Price_Header,0)))))</f>
        <v>0.62571471428571557</v>
      </c>
      <c r="Q65" s="46">
        <f ca="1">IF(ROW($O65)-5&lt;RSI_Periods, "", AVERAGE(INDIRECT(ADDRESS(ROW($O65)-RSI_Periods +1, MATCH("Downmove", Price_Header,0))): INDIRECT(ADDRESS(ROW($O65),MATCH("Downmove", Price_Header,0)))))</f>
        <v>0.7121430714285728</v>
      </c>
      <c r="R65" s="46">
        <f ca="1">IF(tbl_CVX[[#This Row],[Avg_Upmove]]="", "", tbl_CVX[[#This Row],[Avg_Upmove]]/tbl_CVX[[#This Row],[Avg_Downmove]])</f>
        <v>0.87863624514456029</v>
      </c>
      <c r="S65" s="10">
        <f ca="1">IF(ROW($N65)-4&lt;BB_Periods, "", _xlfn.STDEV.S(INDIRECT(ADDRESS(ROW($F65)-RSI_Periods +1, MATCH("Adj Close", Price_Header,0))): INDIRECT(ADDRESS(ROW($F65),MATCH("Adj Close", Price_Header,0)))))</f>
        <v>1.8933424131432381</v>
      </c>
    </row>
    <row r="66" spans="1:19" x14ac:dyDescent="0.35">
      <c r="A66" s="8">
        <v>44139</v>
      </c>
      <c r="B66" s="10">
        <v>70.78</v>
      </c>
      <c r="C66" s="10">
        <v>73.59</v>
      </c>
      <c r="D66" s="10">
        <v>69.89</v>
      </c>
      <c r="E66" s="10">
        <v>71.77</v>
      </c>
      <c r="F66" s="10">
        <v>71.77</v>
      </c>
      <c r="G66">
        <v>10925700</v>
      </c>
      <c r="H66" s="10">
        <f>IF(tbl_CVX[[#This Row],[Date]]=$A$5, $F66, EMA_Beta*$H65 + (1-EMA_Beta)*$F66)</f>
        <v>71.638629148847528</v>
      </c>
      <c r="I66" s="46">
        <f ca="1">IF(tbl_CVX[[#This Row],[RS]]= "", "", 100-(100/(1+tbl_CVX[[#This Row],[RS]])))</f>
        <v>45.219775775873451</v>
      </c>
      <c r="J66" s="10">
        <f ca="1">IF(ROW($N66)-4&lt;BB_Periods, "", AVERAGE(INDIRECT(ADDRESS(ROW($F66)-RSI_Periods +1, MATCH("Adj Close", Price_Header,0))): INDIRECT(ADDRESS(ROW($F66),MATCH("Adj Close", Price_Header,0)))))</f>
        <v>70.998571285714277</v>
      </c>
      <c r="K66" s="10">
        <f ca="1">IF(tbl_CVX[[#This Row],[BB_Mean]]="", "", tbl_CVX[[#This Row],[BB_Mean]]+(BB_Width*tbl_CVX[[#This Row],[BB_Stdev]]))</f>
        <v>74.554963886818285</v>
      </c>
      <c r="L66" s="10">
        <f ca="1">IF(tbl_CVX[[#This Row],[BB_Mean]]="", "", tbl_CVX[[#This Row],[BB_Mean]]-(BB_Width*tbl_CVX[[#This Row],[BB_Stdev]]))</f>
        <v>67.442178684610269</v>
      </c>
      <c r="M66" s="46">
        <f>IF(ROW(tbl_CVX[[#This Row],[Adj Close]])=5, 0, $F66-$F65)</f>
        <v>3.0000000000001137E-2</v>
      </c>
      <c r="N66" s="46">
        <f>MAX(tbl_CVX[[#This Row],[Move]],0)</f>
        <v>3.0000000000001137E-2</v>
      </c>
      <c r="O66" s="46">
        <f>MAX(-tbl_CVX[[#This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0.58785721428571536</v>
      </c>
      <c r="Q66" s="46">
        <f ca="1">IF(ROW($O66)-5&lt;RSI_Periods, "", AVERAGE(INDIRECT(ADDRESS(ROW($O66)-RSI_Periods +1, MATCH("Downmove", Price_Header,0))): INDIRECT(ADDRESS(ROW($O66),MATCH("Downmove", Price_Header,0)))))</f>
        <v>0.7121430714285728</v>
      </c>
      <c r="R66" s="46">
        <f ca="1">IF(tbl_CVX[[#This Row],[Avg_Upmove]]="", "", tbl_CVX[[#This Row],[Avg_Upmove]]/tbl_CVX[[#This Row],[Avg_Downmove]])</f>
        <v>0.8254762812007177</v>
      </c>
      <c r="S66" s="10">
        <f ca="1">IF(ROW($N66)-4&lt;BB_Periods, "", _xlfn.STDEV.S(INDIRECT(ADDRESS(ROW($F66)-RSI_Periods +1, MATCH("Adj Close", Price_Header,0))): INDIRECT(ADDRESS(ROW($F66),MATCH("Adj Close", Price_Header,0)))))</f>
        <v>1.7781963005520058</v>
      </c>
    </row>
    <row r="67" spans="1:19" x14ac:dyDescent="0.35">
      <c r="A67" s="8">
        <v>44140</v>
      </c>
      <c r="B67" s="10">
        <v>71.900000000000006</v>
      </c>
      <c r="C67" s="10">
        <v>72.97</v>
      </c>
      <c r="D67" s="10">
        <v>71.760000000000005</v>
      </c>
      <c r="E67" s="10">
        <v>72.14</v>
      </c>
      <c r="F67" s="10">
        <v>72.14</v>
      </c>
      <c r="G67">
        <v>10627700</v>
      </c>
      <c r="H67" s="10">
        <f>IF(tbl_CVX[[#This Row],[Date]]=$A$5, $F67, EMA_Beta*$H66 + (1-EMA_Beta)*$F67)</f>
        <v>71.688766233962781</v>
      </c>
      <c r="I67" s="46">
        <f ca="1">IF(tbl_CVX[[#This Row],[RS]]= "", "", 100-(100/(1+tbl_CVX[[#This Row],[RS]])))</f>
        <v>47.910866411650893</v>
      </c>
      <c r="J67" s="10">
        <f ca="1">IF(ROW($N67)-4&lt;BB_Periods, "", AVERAGE(INDIRECT(ADDRESS(ROW($F67)-RSI_Periods +1, MATCH("Adj Close", Price_Header,0))): INDIRECT(ADDRESS(ROW($F67),MATCH("Adj Close", Price_Header,0)))))</f>
        <v>70.94499992857142</v>
      </c>
      <c r="K67" s="10">
        <f ca="1">IF(tbl_CVX[[#This Row],[BB_Mean]]="", "", tbl_CVX[[#This Row],[BB_Mean]]+(BB_Width*tbl_CVX[[#This Row],[BB_Stdev]]))</f>
        <v>74.399804802500398</v>
      </c>
      <c r="L67" s="10">
        <f ca="1">IF(tbl_CVX[[#This Row],[BB_Mean]]="", "", tbl_CVX[[#This Row],[BB_Mean]]-(BB_Width*tbl_CVX[[#This Row],[BB_Stdev]]))</f>
        <v>67.490195054642442</v>
      </c>
      <c r="M67" s="46">
        <f>IF(ROW(tbl_CVX[[#This Row],[Adj Close]])=5, 0, $F67-$F66)</f>
        <v>0.37000000000000455</v>
      </c>
      <c r="N67" s="46">
        <f>MAX(tbl_CVX[[#This Row],[Move]],0)</f>
        <v>0.37000000000000455</v>
      </c>
      <c r="O67" s="46">
        <f>MAX(-tbl_CVX[[#This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0.61428578571428716</v>
      </c>
      <c r="Q67" s="46">
        <f ca="1">IF(ROW($O67)-5&lt;RSI_Periods, "", AVERAGE(INDIRECT(ADDRESS(ROW($O67)-RSI_Periods +1, MATCH("Downmove", Price_Header,0))): INDIRECT(ADDRESS(ROW($O67),MATCH("Downmove", Price_Header,0)))))</f>
        <v>0.66785714285714448</v>
      </c>
      <c r="R67" s="46">
        <f ca="1">IF(tbl_CVX[[#This Row],[Avg_Upmove]]="", "", tbl_CVX[[#This Row],[Avg_Upmove]]/tbl_CVX[[#This Row],[Avg_Downmove]])</f>
        <v>0.91978620320855609</v>
      </c>
      <c r="S67" s="10">
        <f ca="1">IF(ROW($N67)-4&lt;BB_Periods, "", _xlfn.STDEV.S(INDIRECT(ADDRESS(ROW($F67)-RSI_Periods +1, MATCH("Adj Close", Price_Header,0))): INDIRECT(ADDRESS(ROW($F67),MATCH("Adj Close", Price_Header,0)))))</f>
        <v>1.7274024369644858</v>
      </c>
    </row>
    <row r="68" spans="1:19" x14ac:dyDescent="0.35">
      <c r="A68" s="8">
        <v>44141</v>
      </c>
      <c r="B68" s="10">
        <v>72.5</v>
      </c>
      <c r="C68" s="10">
        <v>73.27</v>
      </c>
      <c r="D68" s="10">
        <v>70.83</v>
      </c>
      <c r="E68" s="10">
        <v>71.150000000000006</v>
      </c>
      <c r="F68" s="10">
        <v>71.150000000000006</v>
      </c>
      <c r="G68">
        <v>8366900</v>
      </c>
      <c r="H68" s="10">
        <f>IF(tbl_CVX[[#This Row],[Date]]=$A$5, $F68, EMA_Beta*$H67 + (1-EMA_Beta)*$F68)</f>
        <v>71.634889610566503</v>
      </c>
      <c r="I68" s="46">
        <f ca="1">IF(tbl_CVX[[#This Row],[RS]]= "", "", 100-(100/(1+tbl_CVX[[#This Row],[RS]])))</f>
        <v>49.624930777557374</v>
      </c>
      <c r="J68" s="10">
        <f ca="1">IF(ROW($N68)-4&lt;BB_Periods, "", AVERAGE(INDIRECT(ADDRESS(ROW($F68)-RSI_Periods +1, MATCH("Adj Close", Price_Header,0))): INDIRECT(ADDRESS(ROW($F68),MATCH("Adj Close", Price_Header,0)))))</f>
        <v>70.935714285714283</v>
      </c>
      <c r="K68" s="10">
        <f ca="1">IF(tbl_CVX[[#This Row],[BB_Mean]]="", "", tbl_CVX[[#This Row],[BB_Mean]]+(BB_Width*tbl_CVX[[#This Row],[BB_Stdev]]))</f>
        <v>74.387337888383826</v>
      </c>
      <c r="L68" s="10">
        <f ca="1">IF(tbl_CVX[[#This Row],[BB_Mean]]="", "", tbl_CVX[[#This Row],[BB_Mean]]-(BB_Width*tbl_CVX[[#This Row],[BB_Stdev]]))</f>
        <v>67.484090683044741</v>
      </c>
      <c r="M68" s="46">
        <f>IF(ROW(tbl_CVX[[#This Row],[Adj Close]])=5, 0, $F68-$F67)</f>
        <v>-0.98999999999999488</v>
      </c>
      <c r="N68" s="46">
        <f>MAX(tbl_CVX[[#This Row],[Move]],0)</f>
        <v>0</v>
      </c>
      <c r="O68" s="46">
        <f>MAX(-tbl_CVX[[#This Row],[Move]],0)</f>
        <v>0.98999999999999488</v>
      </c>
      <c r="P68" s="46">
        <f ca="1">IF(ROW($N68)-5&lt;RSI_Periods, "", AVERAGE(INDIRECT(ADDRESS(ROW($N68)-RSI_Periods +1, MATCH("Upmove", Price_Header,0))): INDIRECT(ADDRESS(ROW($N68),MATCH("Upmove", Price_Header,0)))))</f>
        <v>0.61428578571428716</v>
      </c>
      <c r="Q68" s="46">
        <f ca="1">IF(ROW($O68)-5&lt;RSI_Periods, "", AVERAGE(INDIRECT(ADDRESS(ROW($O68)-RSI_Periods +1, MATCH("Downmove", Price_Header,0))): INDIRECT(ADDRESS(ROW($O68),MATCH("Downmove", Price_Header,0)))))</f>
        <v>0.62357142857142989</v>
      </c>
      <c r="R68" s="46">
        <f ca="1">IF(tbl_CVX[[#This Row],[Avg_Upmove]]="", "", tbl_CVX[[#This Row],[Avg_Upmove]]/tbl_CVX[[#This Row],[Avg_Downmove]])</f>
        <v>0.98510893470790406</v>
      </c>
      <c r="S68" s="10">
        <f ca="1">IF(ROW($N68)-4&lt;BB_Periods, "", _xlfn.STDEV.S(INDIRECT(ADDRESS(ROW($F68)-RSI_Periods +1, MATCH("Adj Close", Price_Header,0))): INDIRECT(ADDRESS(ROW($F68),MATCH("Adj Close", Price_Header,0)))))</f>
        <v>1.7258118013347741</v>
      </c>
    </row>
    <row r="69" spans="1:19" x14ac:dyDescent="0.35">
      <c r="A69" s="8">
        <v>44144</v>
      </c>
      <c r="B69" s="10">
        <v>80</v>
      </c>
      <c r="C69" s="10">
        <v>84.27</v>
      </c>
      <c r="D69" s="10">
        <v>78.260000000000005</v>
      </c>
      <c r="E69" s="10">
        <v>79.400000000000006</v>
      </c>
      <c r="F69" s="10">
        <v>79.400000000000006</v>
      </c>
      <c r="G69">
        <v>24015200</v>
      </c>
      <c r="H69" s="10">
        <f>IF(tbl_CVX[[#This Row],[Date]]=$A$5, $F69, EMA_Beta*$H68 + (1-EMA_Beta)*$F69)</f>
        <v>72.411400649509858</v>
      </c>
      <c r="I69" s="46">
        <f ca="1">IF(tbl_CVX[[#This Row],[RS]]= "", "", 100-(100/(1+tbl_CVX[[#This Row],[RS]])))</f>
        <v>65.32962668784748</v>
      </c>
      <c r="J69" s="10">
        <f ca="1">IF(ROW($N69)-4&lt;BB_Periods, "", AVERAGE(INDIRECT(ADDRESS(ROW($F69)-RSI_Periods +1, MATCH("Adj Close", Price_Header,0))): INDIRECT(ADDRESS(ROW($F69),MATCH("Adj Close", Price_Header,0)))))</f>
        <v>71.487142857142857</v>
      </c>
      <c r="K69" s="10">
        <f ca="1">IF(tbl_CVX[[#This Row],[BB_Mean]]="", "", tbl_CVX[[#This Row],[BB_Mean]]+(BB_Width*tbl_CVX[[#This Row],[BB_Stdev]]))</f>
        <v>77.186068146225836</v>
      </c>
      <c r="L69" s="10">
        <f ca="1">IF(tbl_CVX[[#This Row],[BB_Mean]]="", "", tbl_CVX[[#This Row],[BB_Mean]]-(BB_Width*tbl_CVX[[#This Row],[BB_Stdev]]))</f>
        <v>65.788217568059878</v>
      </c>
      <c r="M69" s="46">
        <f>IF(ROW(tbl_CVX[[#This Row],[Adj Close]])=5, 0, $F69-$F68)</f>
        <v>8.25</v>
      </c>
      <c r="N69" s="46">
        <f>MAX(tbl_CVX[[#This Row],[Move]],0)</f>
        <v>8.25</v>
      </c>
      <c r="O69" s="46">
        <f>MAX(-tbl_CVX[[#This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1.1750000000000012</v>
      </c>
      <c r="Q69" s="46">
        <f ca="1">IF(ROW($O69)-5&lt;RSI_Periods, "", AVERAGE(INDIRECT(ADDRESS(ROW($O69)-RSI_Periods +1, MATCH("Downmove", Price_Header,0))): INDIRECT(ADDRESS(ROW($O69),MATCH("Downmove", Price_Header,0)))))</f>
        <v>0.62357142857142989</v>
      </c>
      <c r="R69" s="46">
        <f ca="1">IF(tbl_CVX[[#This Row],[Avg_Upmove]]="", "", tbl_CVX[[#This Row],[Avg_Upmove]]/tbl_CVX[[#This Row],[Avg_Downmove]])</f>
        <v>1.8843069873997689</v>
      </c>
      <c r="S69" s="10">
        <f ca="1">IF(ROW($N69)-4&lt;BB_Periods, "", _xlfn.STDEV.S(INDIRECT(ADDRESS(ROW($F69)-RSI_Periods +1, MATCH("Adj Close", Price_Header,0))): INDIRECT(ADDRESS(ROW($F69),MATCH("Adj Close", Price_Header,0)))))</f>
        <v>2.8494626445414881</v>
      </c>
    </row>
    <row r="70" spans="1:19" x14ac:dyDescent="0.35">
      <c r="A70" s="8">
        <v>44145</v>
      </c>
      <c r="B70" s="10">
        <v>81.14</v>
      </c>
      <c r="C70" s="10">
        <v>83.15</v>
      </c>
      <c r="D70" s="10">
        <v>79.709999999999994</v>
      </c>
      <c r="E70" s="10">
        <v>83.07</v>
      </c>
      <c r="F70" s="10">
        <v>83.07</v>
      </c>
      <c r="G70">
        <v>15039700</v>
      </c>
      <c r="H70" s="10">
        <f>IF(tbl_CVX[[#This Row],[Date]]=$A$5, $F70, EMA_Beta*$H69 + (1-EMA_Beta)*$F70)</f>
        <v>73.477260584558877</v>
      </c>
      <c r="I70" s="46">
        <f ca="1">IF(tbl_CVX[[#This Row],[RS]]= "", "", 100-(100/(1+tbl_CVX[[#This Row],[RS]])))</f>
        <v>71.754636233951459</v>
      </c>
      <c r="J70" s="10">
        <f ca="1">IF(ROW($N70)-4&lt;BB_Periods, "", AVERAGE(INDIRECT(ADDRESS(ROW($F70)-RSI_Periods +1, MATCH("Adj Close", Price_Header,0))): INDIRECT(ADDRESS(ROW($F70),MATCH("Adj Close", Price_Header,0)))))</f>
        <v>72.358571428571423</v>
      </c>
      <c r="K70" s="10">
        <f ca="1">IF(tbl_CVX[[#This Row],[BB_Mean]]="", "", tbl_CVX[[#This Row],[BB_Mean]]+(BB_Width*tbl_CVX[[#This Row],[BB_Stdev]]))</f>
        <v>80.747262926948565</v>
      </c>
      <c r="L70" s="10">
        <f ca="1">IF(tbl_CVX[[#This Row],[BB_Mean]]="", "", tbl_CVX[[#This Row],[BB_Mean]]-(BB_Width*tbl_CVX[[#This Row],[BB_Stdev]]))</f>
        <v>63.969879930194274</v>
      </c>
      <c r="M70" s="46">
        <f>IF(ROW(tbl_CVX[[#This Row],[Adj Close]])=5, 0, $F70-$F69)</f>
        <v>3.6699999999999875</v>
      </c>
      <c r="N70" s="46">
        <f>MAX(tbl_CVX[[#This Row],[Move]],0)</f>
        <v>3.6699999999999875</v>
      </c>
      <c r="O70" s="46">
        <f>MAX(-tbl_CVX[[#This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1.4371428571428575</v>
      </c>
      <c r="Q70" s="46">
        <f ca="1">IF(ROW($O70)-5&lt;RSI_Periods, "", AVERAGE(INDIRECT(ADDRESS(ROW($O70)-RSI_Periods +1, MATCH("Downmove", Price_Header,0))): INDIRECT(ADDRESS(ROW($O70),MATCH("Downmove", Price_Header,0)))))</f>
        <v>0.56571428571428684</v>
      </c>
      <c r="R70" s="46">
        <f ca="1">IF(tbl_CVX[[#This Row],[Avg_Upmove]]="", "", tbl_CVX[[#This Row],[Avg_Upmove]]/tbl_CVX[[#This Row],[Avg_Downmove]])</f>
        <v>2.5404040404040358</v>
      </c>
      <c r="S70" s="10">
        <f ca="1">IF(ROW($N70)-4&lt;BB_Periods, "", _xlfn.STDEV.S(INDIRECT(ADDRESS(ROW($F70)-RSI_Periods +1, MATCH("Adj Close", Price_Header,0))): INDIRECT(ADDRESS(ROW($F70),MATCH("Adj Close", Price_Header,0)))))</f>
        <v>4.1943457491885736</v>
      </c>
    </row>
    <row r="71" spans="1:19" x14ac:dyDescent="0.35">
      <c r="A71" s="8">
        <v>44146</v>
      </c>
      <c r="B71" s="10">
        <v>84.1</v>
      </c>
      <c r="C71" s="10">
        <v>84.49</v>
      </c>
      <c r="D71" s="10">
        <v>81.8</v>
      </c>
      <c r="E71" s="10">
        <v>82.46</v>
      </c>
      <c r="F71" s="10">
        <v>82.46</v>
      </c>
      <c r="G71">
        <v>11640600</v>
      </c>
      <c r="H71" s="10">
        <f>IF(tbl_CVX[[#This Row],[Date]]=$A$5, $F71, EMA_Beta*$H70 + (1-EMA_Beta)*$F71)</f>
        <v>74.375534526102982</v>
      </c>
      <c r="I71" s="46">
        <f ca="1">IF(tbl_CVX[[#This Row],[RS]]= "", "", 100-(100/(1+tbl_CVX[[#This Row],[RS]])))</f>
        <v>67.343032159264894</v>
      </c>
      <c r="J71" s="10">
        <f ca="1">IF(ROW($N71)-4&lt;BB_Periods, "", AVERAGE(INDIRECT(ADDRESS(ROW($F71)-RSI_Periods +1, MATCH("Adj Close", Price_Header,0))): INDIRECT(ADDRESS(ROW($F71),MATCH("Adj Close", Price_Header,0)))))</f>
        <v>73.005714285714276</v>
      </c>
      <c r="K71" s="10">
        <f ca="1">IF(tbl_CVX[[#This Row],[BB_Mean]]="", "", tbl_CVX[[#This Row],[BB_Mean]]+(BB_Width*tbl_CVX[[#This Row],[BB_Stdev]]))</f>
        <v>82.987145397181564</v>
      </c>
      <c r="L71" s="10">
        <f ca="1">IF(tbl_CVX[[#This Row],[BB_Mean]]="", "", tbl_CVX[[#This Row],[BB_Mean]]-(BB_Width*tbl_CVX[[#This Row],[BB_Stdev]]))</f>
        <v>63.024283174246996</v>
      </c>
      <c r="M71" s="46">
        <f>IF(ROW(tbl_CVX[[#This Row],[Adj Close]])=5, 0, $F71-$F70)</f>
        <v>-0.60999999999999943</v>
      </c>
      <c r="N71" s="46">
        <f>MAX(tbl_CVX[[#This Row],[Move]],0)</f>
        <v>0</v>
      </c>
      <c r="O71" s="46">
        <f>MAX(-tbl_CVX[[#This Row],[Move]],0)</f>
        <v>0.60999999999999943</v>
      </c>
      <c r="P71" s="46">
        <f ca="1">IF(ROW($N71)-5&lt;RSI_Periods, "", AVERAGE(INDIRECT(ADDRESS(ROW($N71)-RSI_Periods +1, MATCH("Upmove", Price_Header,0))): INDIRECT(ADDRESS(ROW($N71),MATCH("Upmove", Price_Header,0)))))</f>
        <v>1.2564285714285717</v>
      </c>
      <c r="Q71" s="46">
        <f ca="1">IF(ROW($O71)-5&lt;RSI_Periods, "", AVERAGE(INDIRECT(ADDRESS(ROW($O71)-RSI_Periods +1, MATCH("Downmove", Price_Header,0))): INDIRECT(ADDRESS(ROW($O71),MATCH("Downmove", Price_Header,0)))))</f>
        <v>0.60928571428571543</v>
      </c>
      <c r="R71" s="46">
        <f ca="1">IF(tbl_CVX[[#This Row],[Avg_Upmove]]="", "", tbl_CVX[[#This Row],[Avg_Upmove]]/tbl_CVX[[#This Row],[Avg_Downmove]])</f>
        <v>2.062133645955448</v>
      </c>
      <c r="S71" s="10">
        <f ca="1">IF(ROW($N71)-4&lt;BB_Periods, "", _xlfn.STDEV.S(INDIRECT(ADDRESS(ROW($F71)-RSI_Periods +1, MATCH("Adj Close", Price_Header,0))): INDIRECT(ADDRESS(ROW($F71),MATCH("Adj Close", Price_Header,0)))))</f>
        <v>4.9907155557336411</v>
      </c>
    </row>
    <row r="72" spans="1:19" x14ac:dyDescent="0.35">
      <c r="A72" s="8">
        <v>44147</v>
      </c>
      <c r="B72" s="10">
        <v>80.98</v>
      </c>
      <c r="C72" s="10">
        <v>82.24</v>
      </c>
      <c r="D72" s="10">
        <v>79.91</v>
      </c>
      <c r="E72" s="10">
        <v>80.67</v>
      </c>
      <c r="F72" s="10">
        <v>80.67</v>
      </c>
      <c r="G72">
        <v>8920700</v>
      </c>
      <c r="H72" s="10">
        <f>IF(tbl_CVX[[#This Row],[Date]]=$A$5, $F72, EMA_Beta*$H71 + (1-EMA_Beta)*$F72)</f>
        <v>75.004981073492672</v>
      </c>
      <c r="I72" s="46">
        <f ca="1">IF(tbl_CVX[[#This Row],[RS]]= "", "", 100-(100/(1+tbl_CVX[[#This Row],[RS]])))</f>
        <v>64.955686853766636</v>
      </c>
      <c r="J72" s="10">
        <f ca="1">IF(ROW($N72)-4&lt;BB_Periods, "", AVERAGE(INDIRECT(ADDRESS(ROW($F72)-RSI_Periods +1, MATCH("Adj Close", Price_Header,0))): INDIRECT(ADDRESS(ROW($F72),MATCH("Adj Close", Price_Header,0)))))</f>
        <v>73.584285714285713</v>
      </c>
      <c r="K72" s="10">
        <f ca="1">IF(tbl_CVX[[#This Row],[BB_Mean]]="", "", tbl_CVX[[#This Row],[BB_Mean]]+(BB_Width*tbl_CVX[[#This Row],[BB_Stdev]]))</f>
        <v>84.36402658254471</v>
      </c>
      <c r="L72" s="10">
        <f ca="1">IF(tbl_CVX[[#This Row],[BB_Mean]]="", "", tbl_CVX[[#This Row],[BB_Mean]]-(BB_Width*tbl_CVX[[#This Row],[BB_Stdev]]))</f>
        <v>62.804544846026715</v>
      </c>
      <c r="M72" s="46">
        <f>IF(ROW(tbl_CVX[[#This Row],[Adj Close]])=5, 0, $F72-$F71)</f>
        <v>-1.789999999999992</v>
      </c>
      <c r="N72" s="46">
        <f>MAX(tbl_CVX[[#This Row],[Move]],0)</f>
        <v>0</v>
      </c>
      <c r="O72" s="46">
        <f>MAX(-tbl_CVX[[#This Row],[Move]],0)</f>
        <v>1.789999999999992</v>
      </c>
      <c r="P72" s="46">
        <f ca="1">IF(ROW($N72)-5&lt;RSI_Periods, "", AVERAGE(INDIRECT(ADDRESS(ROW($N72)-RSI_Periods +1, MATCH("Upmove", Price_Header,0))): INDIRECT(ADDRESS(ROW($N72),MATCH("Upmove", Price_Header,0)))))</f>
        <v>1.2564285714285717</v>
      </c>
      <c r="Q72" s="46">
        <f ca="1">IF(ROW($O72)-5&lt;RSI_Periods, "", AVERAGE(INDIRECT(ADDRESS(ROW($O72)-RSI_Periods +1, MATCH("Downmove", Price_Header,0))): INDIRECT(ADDRESS(ROW($O72),MATCH("Downmove", Price_Header,0)))))</f>
        <v>0.67785714285714249</v>
      </c>
      <c r="R72" s="46">
        <f ca="1">IF(tbl_CVX[[#This Row],[Avg_Upmove]]="", "", tbl_CVX[[#This Row],[Avg_Upmove]]/tbl_CVX[[#This Row],[Avg_Downmove]])</f>
        <v>1.8535300316122247</v>
      </c>
      <c r="S72" s="10">
        <f ca="1">IF(ROW($N72)-4&lt;BB_Periods, "", _xlfn.STDEV.S(INDIRECT(ADDRESS(ROW($F72)-RSI_Periods +1, MATCH("Adj Close", Price_Header,0))): INDIRECT(ADDRESS(ROW($F72),MATCH("Adj Close", Price_Header,0)))))</f>
        <v>5.389870434129497</v>
      </c>
    </row>
    <row r="73" spans="1:19" x14ac:dyDescent="0.35">
      <c r="A73" s="8">
        <v>44148</v>
      </c>
      <c r="B73" s="10">
        <v>81.150000000000006</v>
      </c>
      <c r="C73" s="10">
        <v>82.43</v>
      </c>
      <c r="D73" s="10">
        <v>81.05</v>
      </c>
      <c r="E73" s="10">
        <v>82.18</v>
      </c>
      <c r="F73" s="10">
        <v>82.18</v>
      </c>
      <c r="G73">
        <v>2000181</v>
      </c>
      <c r="H73" s="10">
        <f>IF(tbl_CVX[[#This Row],[Date]]=$A$5, $F73, EMA_Beta*$H72 + (1-EMA_Beta)*$F73)</f>
        <v>75.722482966143417</v>
      </c>
      <c r="I73" s="46">
        <f ca="1">IF(tbl_CVX[[#This Row],[RS]]= "", "", 100-(100/(1+tbl_CVX[[#This Row],[RS]])))</f>
        <v>70.845697329376861</v>
      </c>
      <c r="J73" s="10">
        <f ca="1">IF(ROW($N73)-4&lt;BB_Periods, "", AVERAGE(INDIRECT(ADDRESS(ROW($F73)-RSI_Periods +1, MATCH("Adj Close", Price_Header,0))): INDIRECT(ADDRESS(ROW($F73),MATCH("Adj Close", Price_Header,0)))))</f>
        <v>74.387142857142848</v>
      </c>
      <c r="K73" s="10">
        <f ca="1">IF(tbl_CVX[[#This Row],[BB_Mean]]="", "", tbl_CVX[[#This Row],[BB_Mean]]+(BB_Width*tbl_CVX[[#This Row],[BB_Stdev]]))</f>
        <v>85.963366310866846</v>
      </c>
      <c r="L73" s="10">
        <f ca="1">IF(tbl_CVX[[#This Row],[BB_Mean]]="", "", tbl_CVX[[#This Row],[BB_Mean]]-(BB_Width*tbl_CVX[[#This Row],[BB_Stdev]]))</f>
        <v>62.810919403418858</v>
      </c>
      <c r="M73" s="46">
        <f>IF(ROW(tbl_CVX[[#This Row],[Adj Close]])=5, 0, $F73-$F72)</f>
        <v>1.5100000000000051</v>
      </c>
      <c r="N73" s="46">
        <f>MAX(tbl_CVX[[#This Row],[Move]],0)</f>
        <v>1.5100000000000051</v>
      </c>
      <c r="O73" s="46">
        <f>MAX(-tbl_CVX[[#This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1.364285714285715</v>
      </c>
      <c r="Q73" s="46">
        <f ca="1">IF(ROW($O73)-5&lt;RSI_Periods, "", AVERAGE(INDIRECT(ADDRESS(ROW($O73)-RSI_Periods +1, MATCH("Downmove", Price_Header,0))): INDIRECT(ADDRESS(ROW($O73),MATCH("Downmove", Price_Header,0)))))</f>
        <v>0.56142857142857139</v>
      </c>
      <c r="R73" s="46">
        <f ca="1">IF(tbl_CVX[[#This Row],[Avg_Upmove]]="", "", tbl_CVX[[#This Row],[Avg_Upmove]]/tbl_CVX[[#This Row],[Avg_Downmove]])</f>
        <v>2.4300254452926224</v>
      </c>
      <c r="S73" s="10">
        <f ca="1">IF(ROW($N73)-4&lt;BB_Periods, "", _xlfn.STDEV.S(INDIRECT(ADDRESS(ROW($F73)-RSI_Periods +1, MATCH("Adj Close", Price_Header,0))): INDIRECT(ADDRESS(ROW($F73),MATCH("Adj Close", Price_Header,0)))))</f>
        <v>5.7881117268619962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SUBTOTAL(103,tbl_CVX[BB_Stdev])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74"/>
  <sheetViews>
    <sheetView topLeftCell="E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329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108.599998</v>
      </c>
      <c r="C5" s="10">
        <v>108.989998</v>
      </c>
      <c r="D5" s="10">
        <v>105.720001</v>
      </c>
      <c r="E5" s="10">
        <v>106.360001</v>
      </c>
      <c r="F5" s="10">
        <v>105.793381</v>
      </c>
      <c r="G5">
        <v>10087100</v>
      </c>
      <c r="H5" s="10">
        <f>IF(tbl_QCOM[[#This Row],[Date]]=$A$5, $F5, EMA_Beta*$H4 + (1-EMA_Beta)*$F5)</f>
        <v>105.793381</v>
      </c>
      <c r="I5" s="46" t="str">
        <f ca="1">IF(tbl_QCOM[[#This Row],[RS]]= "", "", 100-(100/(1+tbl_QCOM[[#This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IF(tbl_QCOM[[#This Row],[BB_Mean]]="", "", tbl_QCOM[[#This Row],[BB_Mean]]+(BB_Width*tbl_QCOM[[#This Row],[BB_Stdev]]))</f>
        <v/>
      </c>
      <c r="L5" s="10" t="str">
        <f ca="1">IF(tbl_QCOM[[#This Row],[BB_Mean]]="", "", tbl_QCOM[[#This Row],[BB_Mean]]-(BB_Width*tbl_QCOM[[#This Row],[BB_Stdev]]))</f>
        <v/>
      </c>
      <c r="M5" s="46">
        <f>IF(ROW(tbl_QCOM[[#This Row],[Adj Close]])=5, 0, $F5-$F4)</f>
        <v>0</v>
      </c>
      <c r="N5" s="46">
        <f>MAX(tbl_QCOM[[#This Row],[Move]],0)</f>
        <v>0</v>
      </c>
      <c r="O5" s="46">
        <f>MAX(-tbl_QCOM[[#This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IF(tbl_QCOM[[#This Row],[Avg_Upmove]]="", "", tbl_QCOM[[#This Row],[Avg_Upmove]]/tbl_QCOM[[#This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106.199997</v>
      </c>
      <c r="C6" s="10">
        <v>112.010002</v>
      </c>
      <c r="D6" s="10">
        <v>104.739998</v>
      </c>
      <c r="E6" s="10">
        <v>108.83000199999999</v>
      </c>
      <c r="F6" s="10">
        <v>108.250221</v>
      </c>
      <c r="G6">
        <v>17803000</v>
      </c>
      <c r="H6" s="10">
        <f>IF(tbl_QCOM[[#This Row],[Date]]=$A$5, $F6, EMA_Beta*$H5 + (1-EMA_Beta)*$F6)</f>
        <v>106.03906499999999</v>
      </c>
      <c r="I6" s="46" t="str">
        <f ca="1">IF(tbl_QCOM[[#This Row],[RS]]= "", "", 100-(100/(1+tbl_QCOM[[#This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IF(tbl_QCOM[[#This Row],[BB_Mean]]="", "", tbl_QCOM[[#This Row],[BB_Mean]]+(BB_Width*tbl_QCOM[[#This Row],[BB_Stdev]]))</f>
        <v/>
      </c>
      <c r="L6" s="10" t="str">
        <f ca="1">IF(tbl_QCOM[[#This Row],[BB_Mean]]="", "", tbl_QCOM[[#This Row],[BB_Mean]]-(BB_Width*tbl_QCOM[[#This Row],[BB_Stdev]]))</f>
        <v/>
      </c>
      <c r="M6" s="46">
        <f>IF(ROW(tbl_QCOM[[#This Row],[Adj Close]])=5, 0, $F6-$F5)</f>
        <v>2.4568399999999997</v>
      </c>
      <c r="N6" s="46">
        <f>MAX(tbl_QCOM[[#This Row],[Move]],0)</f>
        <v>2.4568399999999997</v>
      </c>
      <c r="O6" s="46">
        <f>MAX(-tbl_QCOM[[#This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IF(tbl_QCOM[[#This Row],[Avg_Upmove]]="", "", tbl_QCOM[[#This Row],[Avg_Upmove]]/tbl_QCOM[[#This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110.389999</v>
      </c>
      <c r="C7" s="10">
        <v>116.25</v>
      </c>
      <c r="D7" s="10">
        <v>109.650002</v>
      </c>
      <c r="E7" s="10">
        <v>115.790001</v>
      </c>
      <c r="F7" s="10">
        <v>115.173141</v>
      </c>
      <c r="G7">
        <v>18672300</v>
      </c>
      <c r="H7" s="10">
        <f>IF(tbl_QCOM[[#This Row],[Date]]=$A$5, $F7, EMA_Beta*$H6 + (1-EMA_Beta)*$F7)</f>
        <v>106.95247259999999</v>
      </c>
      <c r="I7" s="46" t="str">
        <f ca="1">IF(tbl_QCOM[[#This Row],[RS]]= "", "", 100-(100/(1+tbl_QCOM[[#This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IF(tbl_QCOM[[#This Row],[BB_Mean]]="", "", tbl_QCOM[[#This Row],[BB_Mean]]+(BB_Width*tbl_QCOM[[#This Row],[BB_Stdev]]))</f>
        <v/>
      </c>
      <c r="L7" s="10" t="str">
        <f ca="1">IF(tbl_QCOM[[#This Row],[BB_Mean]]="", "", tbl_QCOM[[#This Row],[BB_Mean]]-(BB_Width*tbl_QCOM[[#This Row],[BB_Stdev]]))</f>
        <v/>
      </c>
      <c r="M7" s="46">
        <f>IF(ROW(tbl_QCOM[[#This Row],[Adj Close]])=5, 0, $F7-$F6)</f>
        <v>6.9229200000000048</v>
      </c>
      <c r="N7" s="46">
        <f>MAX(tbl_QCOM[[#This Row],[Move]],0)</f>
        <v>6.9229200000000048</v>
      </c>
      <c r="O7" s="46">
        <f>MAX(-tbl_QCOM[[#This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IF(tbl_QCOM[[#This Row],[Avg_Upmove]]="", "", tbl_QCOM[[#This Row],[Avg_Upmove]]/tbl_QCOM[[#This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116.199997</v>
      </c>
      <c r="C8" s="10">
        <v>116.199997</v>
      </c>
      <c r="D8" s="10">
        <v>112.769997</v>
      </c>
      <c r="E8" s="10">
        <v>113.410004</v>
      </c>
      <c r="F8" s="10">
        <v>112.805824</v>
      </c>
      <c r="G8">
        <v>9958400</v>
      </c>
      <c r="H8" s="10">
        <f>IF(tbl_QCOM[[#This Row],[Date]]=$A$5, $F8, EMA_Beta*$H7 + (1-EMA_Beta)*$F8)</f>
        <v>107.53780773999999</v>
      </c>
      <c r="I8" s="46" t="str">
        <f ca="1">IF(tbl_QCOM[[#This Row],[RS]]= "", "", 100-(100/(1+tbl_QCOM[[#This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IF(tbl_QCOM[[#This Row],[BB_Mean]]="", "", tbl_QCOM[[#This Row],[BB_Mean]]+(BB_Width*tbl_QCOM[[#This Row],[BB_Stdev]]))</f>
        <v/>
      </c>
      <c r="L8" s="10" t="str">
        <f ca="1">IF(tbl_QCOM[[#This Row],[BB_Mean]]="", "", tbl_QCOM[[#This Row],[BB_Mean]]-(BB_Width*tbl_QCOM[[#This Row],[BB_Stdev]]))</f>
        <v/>
      </c>
      <c r="M8" s="46">
        <f>IF(ROW(tbl_QCOM[[#This Row],[Adj Close]])=5, 0, $F8-$F7)</f>
        <v>-2.3673169999999999</v>
      </c>
      <c r="N8" s="46">
        <f>MAX(tbl_QCOM[[#This Row],[Move]],0)</f>
        <v>0</v>
      </c>
      <c r="O8" s="46">
        <f>MAX(-tbl_QCOM[[#This Row],[Move]],0)</f>
        <v>2.3673169999999999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IF(tbl_QCOM[[#This Row],[Avg_Upmove]]="", "", tbl_QCOM[[#This Row],[Avg_Upmove]]/tbl_QCOM[[#This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113.300003</v>
      </c>
      <c r="C9" s="10">
        <v>114.519997</v>
      </c>
      <c r="D9" s="10">
        <v>112.57</v>
      </c>
      <c r="E9" s="10">
        <v>113.739998</v>
      </c>
      <c r="F9" s="10">
        <v>113.134056</v>
      </c>
      <c r="G9">
        <v>6641000</v>
      </c>
      <c r="H9" s="10">
        <f>IF(tbl_QCOM[[#This Row],[Date]]=$A$5, $F9, EMA_Beta*$H8 + (1-EMA_Beta)*$F9)</f>
        <v>108.09743256599999</v>
      </c>
      <c r="I9" s="46" t="str">
        <f ca="1">IF(tbl_QCOM[[#This Row],[RS]]= "", "", 100-(100/(1+tbl_QCOM[[#This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IF(tbl_QCOM[[#This Row],[BB_Mean]]="", "", tbl_QCOM[[#This Row],[BB_Mean]]+(BB_Width*tbl_QCOM[[#This Row],[BB_Stdev]]))</f>
        <v/>
      </c>
      <c r="L9" s="10" t="str">
        <f ca="1">IF(tbl_QCOM[[#This Row],[BB_Mean]]="", "", tbl_QCOM[[#This Row],[BB_Mean]]-(BB_Width*tbl_QCOM[[#This Row],[BB_Stdev]]))</f>
        <v/>
      </c>
      <c r="M9" s="46">
        <f>IF(ROW(tbl_QCOM[[#This Row],[Adj Close]])=5, 0, $F9-$F8)</f>
        <v>0.32823199999999986</v>
      </c>
      <c r="N9" s="46">
        <f>MAX(tbl_QCOM[[#This Row],[Move]],0)</f>
        <v>0.32823199999999986</v>
      </c>
      <c r="O9" s="46">
        <f>MAX(-tbl_QCOM[[#This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IF(tbl_QCOM[[#This Row],[Avg_Upmove]]="", "", tbl_QCOM[[#This Row],[Avg_Upmove]]/tbl_QCOM[[#This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113.290001</v>
      </c>
      <c r="C10" s="10">
        <v>114.489998</v>
      </c>
      <c r="D10" s="10">
        <v>110.629997</v>
      </c>
      <c r="E10" s="10">
        <v>112.18</v>
      </c>
      <c r="F10" s="10">
        <v>111.582375</v>
      </c>
      <c r="G10">
        <v>10283000</v>
      </c>
      <c r="H10" s="10">
        <f>IF(tbl_QCOM[[#This Row],[Date]]=$A$5, $F10, EMA_Beta*$H9 + (1-EMA_Beta)*$F10)</f>
        <v>108.44592680939999</v>
      </c>
      <c r="I10" s="46" t="str">
        <f ca="1">IF(tbl_QCOM[[#This Row],[RS]]= "", "", 100-(100/(1+tbl_QCOM[[#This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IF(tbl_QCOM[[#This Row],[BB_Mean]]="", "", tbl_QCOM[[#This Row],[BB_Mean]]+(BB_Width*tbl_QCOM[[#This Row],[BB_Stdev]]))</f>
        <v/>
      </c>
      <c r="L10" s="10" t="str">
        <f ca="1">IF(tbl_QCOM[[#This Row],[BB_Mean]]="", "", tbl_QCOM[[#This Row],[BB_Mean]]-(BB_Width*tbl_QCOM[[#This Row],[BB_Stdev]]))</f>
        <v/>
      </c>
      <c r="M10" s="46">
        <f>IF(ROW(tbl_QCOM[[#This Row],[Adj Close]])=5, 0, $F10-$F9)</f>
        <v>-1.5516810000000021</v>
      </c>
      <c r="N10" s="46">
        <f>MAX(tbl_QCOM[[#This Row],[Move]],0)</f>
        <v>0</v>
      </c>
      <c r="O10" s="46">
        <f>MAX(-tbl_QCOM[[#This Row],[Move]],0)</f>
        <v>1.5516810000000021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IF(tbl_QCOM[[#This Row],[Avg_Upmove]]="", "", tbl_QCOM[[#This Row],[Avg_Upmove]]/tbl_QCOM[[#This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112.910004</v>
      </c>
      <c r="C11" s="10">
        <v>113.379997</v>
      </c>
      <c r="D11" s="10">
        <v>111.519997</v>
      </c>
      <c r="E11" s="10">
        <v>112.029999</v>
      </c>
      <c r="F11" s="10">
        <v>111.433167</v>
      </c>
      <c r="G11">
        <v>6387000</v>
      </c>
      <c r="H11" s="10">
        <f>IF(tbl_QCOM[[#This Row],[Date]]=$A$5, $F11, EMA_Beta*$H10 + (1-EMA_Beta)*$F11)</f>
        <v>108.74465082846</v>
      </c>
      <c r="I11" s="46" t="str">
        <f ca="1">IF(tbl_QCOM[[#This Row],[RS]]= "", "", 100-(100/(1+tbl_QCOM[[#This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IF(tbl_QCOM[[#This Row],[BB_Mean]]="", "", tbl_QCOM[[#This Row],[BB_Mean]]+(BB_Width*tbl_QCOM[[#This Row],[BB_Stdev]]))</f>
        <v/>
      </c>
      <c r="L11" s="10" t="str">
        <f ca="1">IF(tbl_QCOM[[#This Row],[BB_Mean]]="", "", tbl_QCOM[[#This Row],[BB_Mean]]-(BB_Width*tbl_QCOM[[#This Row],[BB_Stdev]]))</f>
        <v/>
      </c>
      <c r="M11" s="46">
        <f>IF(ROW(tbl_QCOM[[#This Row],[Adj Close]])=5, 0, $F11-$F10)</f>
        <v>-0.14920800000000156</v>
      </c>
      <c r="N11" s="46">
        <f>MAX(tbl_QCOM[[#This Row],[Move]],0)</f>
        <v>0</v>
      </c>
      <c r="O11" s="46">
        <f>MAX(-tbl_QCOM[[#This Row],[Move]],0)</f>
        <v>0.14920800000000156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IF(tbl_QCOM[[#This Row],[Avg_Upmove]]="", "", tbl_QCOM[[#This Row],[Avg_Upmove]]/tbl_QCOM[[#This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112.33000199999999</v>
      </c>
      <c r="C12" s="10">
        <v>113.470001</v>
      </c>
      <c r="D12" s="10">
        <v>110.75</v>
      </c>
      <c r="E12" s="10">
        <v>111.040001</v>
      </c>
      <c r="F12" s="10">
        <v>110.448448</v>
      </c>
      <c r="G12">
        <v>7747600</v>
      </c>
      <c r="H12" s="10">
        <f>IF(tbl_QCOM[[#This Row],[Date]]=$A$5, $F12, EMA_Beta*$H11 + (1-EMA_Beta)*$F12)</f>
        <v>108.91503054561399</v>
      </c>
      <c r="I12" s="46" t="str">
        <f ca="1">IF(tbl_QCOM[[#This Row],[RS]]= "", "", 100-(100/(1+tbl_QCOM[[#This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IF(tbl_QCOM[[#This Row],[BB_Mean]]="", "", tbl_QCOM[[#This Row],[BB_Mean]]+(BB_Width*tbl_QCOM[[#This Row],[BB_Stdev]]))</f>
        <v/>
      </c>
      <c r="L12" s="10" t="str">
        <f ca="1">IF(tbl_QCOM[[#This Row],[BB_Mean]]="", "", tbl_QCOM[[#This Row],[BB_Mean]]-(BB_Width*tbl_QCOM[[#This Row],[BB_Stdev]]))</f>
        <v/>
      </c>
      <c r="M12" s="46">
        <f>IF(ROW(tbl_QCOM[[#This Row],[Adj Close]])=5, 0, $F12-$F11)</f>
        <v>-0.98471899999999835</v>
      </c>
      <c r="N12" s="46">
        <f>MAX(tbl_QCOM[[#This Row],[Move]],0)</f>
        <v>0</v>
      </c>
      <c r="O12" s="46">
        <f>MAX(-tbl_QCOM[[#This Row],[Move]],0)</f>
        <v>0.98471899999999835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IF(tbl_QCOM[[#This Row],[Avg_Upmove]]="", "", tbl_QCOM[[#This Row],[Avg_Upmove]]/tbl_QCOM[[#This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110</v>
      </c>
      <c r="C13" s="10">
        <v>110.980003</v>
      </c>
      <c r="D13" s="10">
        <v>109.66999800000001</v>
      </c>
      <c r="E13" s="10">
        <v>110.660004</v>
      </c>
      <c r="F13" s="10">
        <v>110.07047300000001</v>
      </c>
      <c r="G13">
        <v>7200300</v>
      </c>
      <c r="H13" s="10">
        <f>IF(tbl_QCOM[[#This Row],[Date]]=$A$5, $F13, EMA_Beta*$H12 + (1-EMA_Beta)*$F13)</f>
        <v>109.03057479105259</v>
      </c>
      <c r="I13" s="46" t="str">
        <f ca="1">IF(tbl_QCOM[[#This Row],[RS]]= "", "", 100-(100/(1+tbl_QCOM[[#This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IF(tbl_QCOM[[#This Row],[BB_Mean]]="", "", tbl_QCOM[[#This Row],[BB_Mean]]+(BB_Width*tbl_QCOM[[#This Row],[BB_Stdev]]))</f>
        <v/>
      </c>
      <c r="L13" s="10" t="str">
        <f ca="1">IF(tbl_QCOM[[#This Row],[BB_Mean]]="", "", tbl_QCOM[[#This Row],[BB_Mean]]-(BB_Width*tbl_QCOM[[#This Row],[BB_Stdev]]))</f>
        <v/>
      </c>
      <c r="M13" s="46">
        <f>IF(ROW(tbl_QCOM[[#This Row],[Adj Close]])=5, 0, $F13-$F12)</f>
        <v>-0.37797499999999218</v>
      </c>
      <c r="N13" s="46">
        <f>MAX(tbl_QCOM[[#This Row],[Move]],0)</f>
        <v>0</v>
      </c>
      <c r="O13" s="46">
        <f>MAX(-tbl_QCOM[[#This Row],[Move]],0)</f>
        <v>0.37797499999999218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IF(tbl_QCOM[[#This Row],[Avg_Upmove]]="", "", tbl_QCOM[[#This Row],[Avg_Upmove]]/tbl_QCOM[[#This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110.230003</v>
      </c>
      <c r="C14" s="10">
        <v>113.150002</v>
      </c>
      <c r="D14" s="10">
        <v>109.949997</v>
      </c>
      <c r="E14" s="10">
        <v>113</v>
      </c>
      <c r="F14" s="10">
        <v>112.398003</v>
      </c>
      <c r="G14">
        <v>8546900</v>
      </c>
      <c r="H14" s="10">
        <f>IF(tbl_QCOM[[#This Row],[Date]]=$A$5, $F14, EMA_Beta*$H13 + (1-EMA_Beta)*$F14)</f>
        <v>109.36731761194733</v>
      </c>
      <c r="I14" s="46" t="str">
        <f ca="1">IF(tbl_QCOM[[#This Row],[RS]]= "", "", 100-(100/(1+tbl_QCOM[[#This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IF(tbl_QCOM[[#This Row],[BB_Mean]]="", "", tbl_QCOM[[#This Row],[BB_Mean]]+(BB_Width*tbl_QCOM[[#This Row],[BB_Stdev]]))</f>
        <v/>
      </c>
      <c r="L14" s="10" t="str">
        <f ca="1">IF(tbl_QCOM[[#This Row],[BB_Mean]]="", "", tbl_QCOM[[#This Row],[BB_Mean]]-(BB_Width*tbl_QCOM[[#This Row],[BB_Stdev]]))</f>
        <v/>
      </c>
      <c r="M14" s="46">
        <f>IF(ROW(tbl_QCOM[[#This Row],[Adj Close]])=5, 0, $F14-$F13)</f>
        <v>2.3275299999999959</v>
      </c>
      <c r="N14" s="46">
        <f>MAX(tbl_QCOM[[#This Row],[Move]],0)</f>
        <v>2.3275299999999959</v>
      </c>
      <c r="O14" s="46">
        <f>MAX(-tbl_QCOM[[#This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IF(tbl_QCOM[[#This Row],[Avg_Upmove]]="", "", tbl_QCOM[[#This Row],[Avg_Upmove]]/tbl_QCOM[[#This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114.370003</v>
      </c>
      <c r="C15" s="10">
        <v>116</v>
      </c>
      <c r="D15" s="10">
        <v>113.269997</v>
      </c>
      <c r="E15" s="10">
        <v>115.910004</v>
      </c>
      <c r="F15" s="10">
        <v>115.292503</v>
      </c>
      <c r="G15">
        <v>10235000</v>
      </c>
      <c r="H15" s="10">
        <f>IF(tbl_QCOM[[#This Row],[Date]]=$A$5, $F15, EMA_Beta*$H14 + (1-EMA_Beta)*$F15)</f>
        <v>109.95983615075259</v>
      </c>
      <c r="I15" s="46" t="str">
        <f ca="1">IF(tbl_QCOM[[#This Row],[RS]]= "", "", 100-(100/(1+tbl_QCOM[[#This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IF(tbl_QCOM[[#This Row],[BB_Mean]]="", "", tbl_QCOM[[#This Row],[BB_Mean]]+(BB_Width*tbl_QCOM[[#This Row],[BB_Stdev]]))</f>
        <v/>
      </c>
      <c r="L15" s="10" t="str">
        <f ca="1">IF(tbl_QCOM[[#This Row],[BB_Mean]]="", "", tbl_QCOM[[#This Row],[BB_Mean]]-(BB_Width*tbl_QCOM[[#This Row],[BB_Stdev]]))</f>
        <v/>
      </c>
      <c r="M15" s="46">
        <f>IF(ROW(tbl_QCOM[[#This Row],[Adj Close]])=5, 0, $F15-$F14)</f>
        <v>2.8944999999999936</v>
      </c>
      <c r="N15" s="46">
        <f>MAX(tbl_QCOM[[#This Row],[Move]],0)</f>
        <v>2.8944999999999936</v>
      </c>
      <c r="O15" s="46">
        <f>MAX(-tbl_QCOM[[#This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IF(tbl_QCOM[[#This Row],[Avg_Upmove]]="", "", tbl_QCOM[[#This Row],[Avg_Upmove]]/tbl_QCOM[[#This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116.110001</v>
      </c>
      <c r="C16" s="10">
        <v>117.099998</v>
      </c>
      <c r="D16" s="10">
        <v>114.44000200000001</v>
      </c>
      <c r="E16" s="10">
        <v>115.949997</v>
      </c>
      <c r="F16" s="10">
        <v>115.332283</v>
      </c>
      <c r="G16">
        <v>6208000</v>
      </c>
      <c r="H16" s="10">
        <f>IF(tbl_QCOM[[#This Row],[Date]]=$A$5, $F16, EMA_Beta*$H15 + (1-EMA_Beta)*$F16)</f>
        <v>110.49708083567734</v>
      </c>
      <c r="I16" s="46" t="str">
        <f ca="1">IF(tbl_QCOM[[#This Row],[RS]]= "", "", 100-(100/(1+tbl_QCOM[[#This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IF(tbl_QCOM[[#This Row],[BB_Mean]]="", "", tbl_QCOM[[#This Row],[BB_Mean]]+(BB_Width*tbl_QCOM[[#This Row],[BB_Stdev]]))</f>
        <v/>
      </c>
      <c r="L16" s="10" t="str">
        <f ca="1">IF(tbl_QCOM[[#This Row],[BB_Mean]]="", "", tbl_QCOM[[#This Row],[BB_Mean]]-(BB_Width*tbl_QCOM[[#This Row],[BB_Stdev]]))</f>
        <v/>
      </c>
      <c r="M16" s="46">
        <f>IF(ROW(tbl_QCOM[[#This Row],[Adj Close]])=5, 0, $F16-$F15)</f>
        <v>3.9780000000007476E-2</v>
      </c>
      <c r="N16" s="46">
        <f>MAX(tbl_QCOM[[#This Row],[Move]],0)</f>
        <v>3.9780000000007476E-2</v>
      </c>
      <c r="O16" s="46">
        <f>MAX(-tbl_QCOM[[#This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IF(tbl_QCOM[[#This Row],[Avg_Upmove]]="", "", tbl_QCOM[[#This Row],[Avg_Upmove]]/tbl_QCOM[[#This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116.25</v>
      </c>
      <c r="C17" s="10">
        <v>116.550003</v>
      </c>
      <c r="D17" s="10">
        <v>115.16999800000001</v>
      </c>
      <c r="E17" s="10">
        <v>116.040001</v>
      </c>
      <c r="F17" s="10">
        <v>115.421806</v>
      </c>
      <c r="G17">
        <v>7487400</v>
      </c>
      <c r="H17" s="10">
        <f>IF(tbl_QCOM[[#This Row],[Date]]=$A$5, $F17, EMA_Beta*$H16 + (1-EMA_Beta)*$F17)</f>
        <v>110.9895533521096</v>
      </c>
      <c r="I17" s="46" t="str">
        <f ca="1">IF(tbl_QCOM[[#This Row],[RS]]= "", "", 100-(100/(1+tbl_QCOM[[#This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IF(tbl_QCOM[[#This Row],[BB_Mean]]="", "", tbl_QCOM[[#This Row],[BB_Mean]]+(BB_Width*tbl_QCOM[[#This Row],[BB_Stdev]]))</f>
        <v/>
      </c>
      <c r="L17" s="10" t="str">
        <f ca="1">IF(tbl_QCOM[[#This Row],[BB_Mean]]="", "", tbl_QCOM[[#This Row],[BB_Mean]]-(BB_Width*tbl_QCOM[[#This Row],[BB_Stdev]]))</f>
        <v/>
      </c>
      <c r="M17" s="46">
        <f>IF(ROW(tbl_QCOM[[#This Row],[Adj Close]])=5, 0, $F17-$F16)</f>
        <v>8.9522999999999797E-2</v>
      </c>
      <c r="N17" s="46">
        <f>MAX(tbl_QCOM[[#This Row],[Move]],0)</f>
        <v>8.9522999999999797E-2</v>
      </c>
      <c r="O17" s="46">
        <f>MAX(-tbl_QCOM[[#This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IF(tbl_QCOM[[#This Row],[Avg_Upmove]]="", "", tbl_QCOM[[#This Row],[Avg_Upmove]]/tbl_QCOM[[#This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116.43</v>
      </c>
      <c r="C18" s="10">
        <v>118.18</v>
      </c>
      <c r="D18" s="10">
        <v>115.349998</v>
      </c>
      <c r="E18" s="10">
        <v>116.019997</v>
      </c>
      <c r="F18" s="10">
        <v>115.401909</v>
      </c>
      <c r="G18">
        <v>8206200</v>
      </c>
      <c r="H18" s="10">
        <f>IF(tbl_QCOM[[#This Row],[Date]]=$A$5, $F18, EMA_Beta*$H17 + (1-EMA_Beta)*$F18)</f>
        <v>111.43078891689863</v>
      </c>
      <c r="I18" s="46" t="str">
        <f ca="1">IF(tbl_QCOM[[#This Row],[RS]]= "", "", 100-(100/(1+tbl_QCOM[[#This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112.32411357142855</v>
      </c>
      <c r="K18" s="10">
        <f ca="1">IF(tbl_QCOM[[#This Row],[BB_Mean]]="", "", tbl_QCOM[[#This Row],[BB_Mean]]+(BB_Width*tbl_QCOM[[#This Row],[BB_Stdev]]))</f>
        <v>118.27590602204343</v>
      </c>
      <c r="L18" s="10">
        <f ca="1">IF(tbl_QCOM[[#This Row],[BB_Mean]]="", "", tbl_QCOM[[#This Row],[BB_Mean]]-(BB_Width*tbl_QCOM[[#This Row],[BB_Stdev]]))</f>
        <v>106.37232112081368</v>
      </c>
      <c r="M18" s="46">
        <f>IF(ROW(tbl_QCOM[[#This Row],[Adj Close]])=5, 0, $F18-$F17)</f>
        <v>-1.9897000000000276E-2</v>
      </c>
      <c r="N18" s="46">
        <f>MAX(tbl_QCOM[[#This Row],[Move]],0)</f>
        <v>0</v>
      </c>
      <c r="O18" s="46">
        <f>MAX(-tbl_QCOM[[#This Row],[Move]],0)</f>
        <v>1.9897000000000276E-2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IF(tbl_QCOM[[#This Row],[Avg_Upmove]]="", "", tbl_QCOM[[#This Row],[Avg_Upmove]]/tbl_QCOM[[#This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2.975896225307435</v>
      </c>
    </row>
    <row r="19" spans="1:19" x14ac:dyDescent="0.35">
      <c r="A19" s="8">
        <v>44071</v>
      </c>
      <c r="B19" s="10">
        <v>116.709999</v>
      </c>
      <c r="C19" s="10">
        <v>118.260002</v>
      </c>
      <c r="D19" s="10">
        <v>116.16999800000001</v>
      </c>
      <c r="E19" s="10">
        <v>118.199997</v>
      </c>
      <c r="F19" s="10">
        <v>117.570297</v>
      </c>
      <c r="G19">
        <v>6280300</v>
      </c>
      <c r="H19" s="10">
        <f>IF(tbl_QCOM[[#This Row],[Date]]=$A$5, $F19, EMA_Beta*$H18 + (1-EMA_Beta)*$F19)</f>
        <v>112.04473972520876</v>
      </c>
      <c r="I19" s="46">
        <f ca="1">IF(tbl_QCOM[[#This Row],[RS]]= "", "", 100-(100/(1+tbl_QCOM[[#This Row],[RS]])))</f>
        <v>75.964924503417564</v>
      </c>
      <c r="J19" s="10">
        <f ca="1">IF(ROW($N19)-4&lt;BB_Periods, "", AVERAGE(INDIRECT(ADDRESS(ROW($F19)-RSI_Periods +1, MATCH("Adj Close", Price_Header,0))): INDIRECT(ADDRESS(ROW($F19),MATCH("Adj Close", Price_Header,0)))))</f>
        <v>113.16532185714286</v>
      </c>
      <c r="K19" s="10">
        <f ca="1">IF(tbl_QCOM[[#This Row],[BB_Mean]]="", "", tbl_QCOM[[#This Row],[BB_Mean]]+(BB_Width*tbl_QCOM[[#This Row],[BB_Stdev]]))</f>
        <v>118.43037622304598</v>
      </c>
      <c r="L19" s="10">
        <f ca="1">IF(tbl_QCOM[[#This Row],[BB_Mean]]="", "", tbl_QCOM[[#This Row],[BB_Mean]]-(BB_Width*tbl_QCOM[[#This Row],[BB_Stdev]]))</f>
        <v>107.90026749123973</v>
      </c>
      <c r="M19" s="46">
        <f>IF(ROW(tbl_QCOM[[#This Row],[Adj Close]])=5, 0, $F19-$F18)</f>
        <v>2.1683879999999931</v>
      </c>
      <c r="N19" s="46">
        <f>MAX(tbl_QCOM[[#This Row],[Move]],0)</f>
        <v>2.1683879999999931</v>
      </c>
      <c r="O19" s="46">
        <f>MAX(-tbl_QCOM[[#This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1.2305509285714282</v>
      </c>
      <c r="Q19" s="46">
        <f ca="1">IF(ROW($O19)-5&lt;RSI_Periods, "", AVERAGE(INDIRECT(ADDRESS(ROW($O19)-RSI_Periods +1, MATCH("Downmove", Price_Header,0))): INDIRECT(ADDRESS(ROW($O19),MATCH("Downmove", Price_Header,0)))))</f>
        <v>0.38934264285714243</v>
      </c>
      <c r="R19" s="46">
        <f ca="1">IF(tbl_QCOM[[#This Row],[Avg_Upmove]]="", "", tbl_QCOM[[#This Row],[Avg_Upmove]]/tbl_QCOM[[#This Row],[Avg_Downmove]])</f>
        <v>3.1605860574150926</v>
      </c>
      <c r="S19" s="10">
        <f ca="1">IF(ROW($N19)-4&lt;BB_Periods, "", _xlfn.STDEV.S(INDIRECT(ADDRESS(ROW($F19)-RSI_Periods +1, MATCH("Adj Close", Price_Header,0))): INDIRECT(ADDRESS(ROW($F19),MATCH("Adj Close", Price_Header,0)))))</f>
        <v>2.6325271829515651</v>
      </c>
    </row>
    <row r="20" spans="1:19" x14ac:dyDescent="0.35">
      <c r="A20" s="8">
        <v>44074</v>
      </c>
      <c r="B20" s="10">
        <v>118.33000199999999</v>
      </c>
      <c r="C20" s="10">
        <v>121.05999799999999</v>
      </c>
      <c r="D20" s="10">
        <v>118.120003</v>
      </c>
      <c r="E20" s="10">
        <v>119.099998</v>
      </c>
      <c r="F20" s="10">
        <v>118.465508</v>
      </c>
      <c r="G20">
        <v>9694600</v>
      </c>
      <c r="H20" s="10">
        <f>IF(tbl_QCOM[[#This Row],[Date]]=$A$5, $F20, EMA_Beta*$H19 + (1-EMA_Beta)*$F20)</f>
        <v>112.68681655268789</v>
      </c>
      <c r="I20" s="46">
        <f ca="1">IF(tbl_QCOM[[#This Row],[RS]]= "", "", 100-(100/(1+tbl_QCOM[[#This Row],[RS]])))</f>
        <v>74.1874900938259</v>
      </c>
      <c r="J20" s="10">
        <f ca="1">IF(ROW($N20)-4&lt;BB_Periods, "", AVERAGE(INDIRECT(ADDRESS(ROW($F20)-RSI_Periods +1, MATCH("Adj Close", Price_Header,0))): INDIRECT(ADDRESS(ROW($F20),MATCH("Adj Close", Price_Header,0)))))</f>
        <v>113.89498521428571</v>
      </c>
      <c r="K20" s="10">
        <f ca="1">IF(tbl_QCOM[[#This Row],[BB_Mean]]="", "", tbl_QCOM[[#This Row],[BB_Mean]]+(BB_Width*tbl_QCOM[[#This Row],[BB_Stdev]]))</f>
        <v>119.05616062910313</v>
      </c>
      <c r="L20" s="10">
        <f ca="1">IF(tbl_QCOM[[#This Row],[BB_Mean]]="", "", tbl_QCOM[[#This Row],[BB_Mean]]-(BB_Width*tbl_QCOM[[#This Row],[BB_Stdev]]))</f>
        <v>108.73380979946829</v>
      </c>
      <c r="M20" s="46">
        <f>IF(ROW(tbl_QCOM[[#This Row],[Adj Close]])=5, 0, $F20-$F19)</f>
        <v>0.89521100000000331</v>
      </c>
      <c r="N20" s="46">
        <f>MAX(tbl_QCOM[[#This Row],[Move]],0)</f>
        <v>0.89521100000000331</v>
      </c>
      <c r="O20" s="46">
        <f>MAX(-tbl_QCOM[[#This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1.1190059999999999</v>
      </c>
      <c r="Q20" s="46">
        <f ca="1">IF(ROW($O20)-5&lt;RSI_Periods, "", AVERAGE(INDIRECT(ADDRESS(ROW($O20)-RSI_Periods +1, MATCH("Downmove", Price_Header,0))): INDIRECT(ADDRESS(ROW($O20),MATCH("Downmove", Price_Header,0)))))</f>
        <v>0.38934264285714243</v>
      </c>
      <c r="R20" s="46">
        <f ca="1">IF(tbl_QCOM[[#This Row],[Avg_Upmove]]="", "", tbl_QCOM[[#This Row],[Avg_Upmove]]/tbl_QCOM[[#This Row],[Avg_Downmove]])</f>
        <v>2.8740905229088547</v>
      </c>
      <c r="S20" s="10">
        <f ca="1">IF(ROW($N20)-4&lt;BB_Periods, "", _xlfn.STDEV.S(INDIRECT(ADDRESS(ROW($F20)-RSI_Periods +1, MATCH("Adj Close", Price_Header,0))): INDIRECT(ADDRESS(ROW($F20),MATCH("Adj Close", Price_Header,0)))))</f>
        <v>2.5805877074087111</v>
      </c>
    </row>
    <row r="21" spans="1:19" x14ac:dyDescent="0.35">
      <c r="A21" s="8">
        <v>44075</v>
      </c>
      <c r="B21" s="10">
        <v>121.08000199999999</v>
      </c>
      <c r="C21" s="10">
        <v>122.57</v>
      </c>
      <c r="D21" s="10">
        <v>119.510002</v>
      </c>
      <c r="E21" s="10">
        <v>122.010002</v>
      </c>
      <c r="F21" s="10">
        <v>121.36000799999999</v>
      </c>
      <c r="G21">
        <v>9101300</v>
      </c>
      <c r="H21" s="10">
        <f>IF(tbl_QCOM[[#This Row],[Date]]=$A$5, $F21, EMA_Beta*$H20 + (1-EMA_Beta)*$F21)</f>
        <v>113.55413569741908</v>
      </c>
      <c r="I21" s="46">
        <f ca="1">IF(tbl_QCOM[[#This Row],[RS]]= "", "", 100-(100/(1+tbl_QCOM[[#This Row],[RS]])))</f>
        <v>68.102469847928376</v>
      </c>
      <c r="J21" s="10">
        <f ca="1">IF(ROW($N21)-4&lt;BB_Periods, "", AVERAGE(INDIRECT(ADDRESS(ROW($F21)-RSI_Periods +1, MATCH("Adj Close", Price_Header,0))): INDIRECT(ADDRESS(ROW($F21),MATCH("Adj Close", Price_Header,0)))))</f>
        <v>114.33690428571428</v>
      </c>
      <c r="K21" s="10">
        <f ca="1">IF(tbl_QCOM[[#This Row],[BB_Mean]]="", "", tbl_QCOM[[#This Row],[BB_Mean]]+(BB_Width*tbl_QCOM[[#This Row],[BB_Stdev]]))</f>
        <v>120.85153672382945</v>
      </c>
      <c r="L21" s="10">
        <f ca="1">IF(tbl_QCOM[[#This Row],[BB_Mean]]="", "", tbl_QCOM[[#This Row],[BB_Mean]]-(BB_Width*tbl_QCOM[[#This Row],[BB_Stdev]]))</f>
        <v>107.82227184759911</v>
      </c>
      <c r="M21" s="46">
        <f>IF(ROW(tbl_QCOM[[#This Row],[Adj Close]])=5, 0, $F21-$F20)</f>
        <v>2.8944999999999936</v>
      </c>
      <c r="N21" s="46">
        <f>MAX(tbl_QCOM[[#This Row],[Move]],0)</f>
        <v>2.8944999999999936</v>
      </c>
      <c r="O21" s="46">
        <f>MAX(-tbl_QCOM[[#This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0.83126171428571338</v>
      </c>
      <c r="Q21" s="46">
        <f ca="1">IF(ROW($O21)-5&lt;RSI_Periods, "", AVERAGE(INDIRECT(ADDRESS(ROW($O21)-RSI_Periods +1, MATCH("Downmove", Price_Header,0))): INDIRECT(ADDRESS(ROW($O21),MATCH("Downmove", Price_Header,0)))))</f>
        <v>0.38934264285714243</v>
      </c>
      <c r="R21" s="46">
        <f ca="1">IF(tbl_QCOM[[#This Row],[Avg_Upmove]]="", "", tbl_QCOM[[#This Row],[Avg_Upmove]]/tbl_QCOM[[#This Row],[Avg_Downmove]])</f>
        <v>2.1350389676959169</v>
      </c>
      <c r="S21" s="10">
        <f ca="1">IF(ROW($N21)-4&lt;BB_Periods, "", _xlfn.STDEV.S(INDIRECT(ADDRESS(ROW($F21)-RSI_Periods +1, MATCH("Adj Close", Price_Header,0))): INDIRECT(ADDRESS(ROW($F21),MATCH("Adj Close", Price_Header,0)))))</f>
        <v>3.257316219057584</v>
      </c>
    </row>
    <row r="22" spans="1:19" x14ac:dyDescent="0.35">
      <c r="A22" s="8">
        <v>44076</v>
      </c>
      <c r="B22" s="10">
        <v>123.260002</v>
      </c>
      <c r="C22" s="10">
        <v>123.93</v>
      </c>
      <c r="D22" s="10">
        <v>121.80999799999999</v>
      </c>
      <c r="E22" s="10">
        <v>123.18</v>
      </c>
      <c r="F22" s="10">
        <v>123.18</v>
      </c>
      <c r="G22">
        <v>9167700</v>
      </c>
      <c r="H22" s="10">
        <f>IF(tbl_QCOM[[#This Row],[Date]]=$A$5, $F22, EMA_Beta*$H21 + (1-EMA_Beta)*$F22)</f>
        <v>114.51672212767717</v>
      </c>
      <c r="I22" s="46">
        <f ca="1">IF(tbl_QCOM[[#This Row],[RS]]= "", "", 100-(100/(1+tbl_QCOM[[#This Row],[RS]])))</f>
        <v>81.358716837827856</v>
      </c>
      <c r="J22" s="10">
        <f ca="1">IF(ROW($N22)-4&lt;BB_Periods, "", AVERAGE(INDIRECT(ADDRESS(ROW($F22)-RSI_Periods +1, MATCH("Adj Close", Price_Header,0))): INDIRECT(ADDRESS(ROW($F22),MATCH("Adj Close", Price_Header,0)))))</f>
        <v>115.07791685714287</v>
      </c>
      <c r="K22" s="10">
        <f ca="1">IF(tbl_QCOM[[#This Row],[BB_Mean]]="", "", tbl_QCOM[[#This Row],[BB_Mean]]+(BB_Width*tbl_QCOM[[#This Row],[BB_Stdev]]))</f>
        <v>123.04129759454455</v>
      </c>
      <c r="L22" s="10">
        <f ca="1">IF(tbl_QCOM[[#This Row],[BB_Mean]]="", "", tbl_QCOM[[#This Row],[BB_Mean]]-(BB_Width*tbl_QCOM[[#This Row],[BB_Stdev]]))</f>
        <v>107.11453611974119</v>
      </c>
      <c r="M22" s="46">
        <f>IF(ROW(tbl_QCOM[[#This Row],[Adj Close]])=5, 0, $F22-$F21)</f>
        <v>1.8199920000000134</v>
      </c>
      <c r="N22" s="46">
        <f>MAX(tbl_QCOM[[#This Row],[Move]],0)</f>
        <v>1.8199920000000134</v>
      </c>
      <c r="O22" s="46">
        <f>MAX(-tbl_QCOM[[#This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0.96126114285714281</v>
      </c>
      <c r="Q22" s="46">
        <f ca="1">IF(ROW($O22)-5&lt;RSI_Periods, "", AVERAGE(INDIRECT(ADDRESS(ROW($O22)-RSI_Periods +1, MATCH("Downmove", Price_Header,0))): INDIRECT(ADDRESS(ROW($O22),MATCH("Downmove", Price_Header,0)))))</f>
        <v>0.22024857142857104</v>
      </c>
      <c r="R22" s="46">
        <f ca="1">IF(tbl_QCOM[[#This Row],[Avg_Upmove]]="", "", tbl_QCOM[[#This Row],[Avg_Upmove]]/tbl_QCOM[[#This Row],[Avg_Downmove]])</f>
        <v>4.3644375835095488</v>
      </c>
      <c r="S22" s="10">
        <f ca="1">IF(ROW($N22)-4&lt;BB_Periods, "", _xlfn.STDEV.S(INDIRECT(ADDRESS(ROW($F22)-RSI_Periods +1, MATCH("Adj Close", Price_Header,0))): INDIRECT(ADDRESS(ROW($F22),MATCH("Adj Close", Price_Header,0)))))</f>
        <v>3.9816903687008427</v>
      </c>
    </row>
    <row r="23" spans="1:19" x14ac:dyDescent="0.35">
      <c r="A23" s="8">
        <v>44077</v>
      </c>
      <c r="B23" s="10">
        <v>121.300003</v>
      </c>
      <c r="C23" s="10">
        <v>121.709999</v>
      </c>
      <c r="D23" s="10">
        <v>115.599998</v>
      </c>
      <c r="E23" s="10">
        <v>116.43</v>
      </c>
      <c r="F23" s="10">
        <v>116.43</v>
      </c>
      <c r="G23">
        <v>13560800</v>
      </c>
      <c r="H23" s="10">
        <f>IF(tbl_QCOM[[#This Row],[Date]]=$A$5, $F23, EMA_Beta*$H22 + (1-EMA_Beta)*$F23)</f>
        <v>114.70804991490945</v>
      </c>
      <c r="I23" s="46">
        <f ca="1">IF(tbl_QCOM[[#This Row],[RS]]= "", "", 100-(100/(1+tbl_QCOM[[#This Row],[RS]])))</f>
        <v>57.176670685902806</v>
      </c>
      <c r="J23" s="10">
        <f ca="1">IF(ROW($N23)-4&lt;BB_Periods, "", AVERAGE(INDIRECT(ADDRESS(ROW($F23)-RSI_Periods +1, MATCH("Adj Close", Price_Header,0))): INDIRECT(ADDRESS(ROW($F23),MATCH("Adj Close", Price_Header,0)))))</f>
        <v>115.31334142857145</v>
      </c>
      <c r="K23" s="10">
        <f ca="1">IF(tbl_QCOM[[#This Row],[BB_Mean]]="", "", tbl_QCOM[[#This Row],[BB_Mean]]+(BB_Width*tbl_QCOM[[#This Row],[BB_Stdev]]))</f>
        <v>123.22387470026354</v>
      </c>
      <c r="L23" s="10">
        <f ca="1">IF(tbl_QCOM[[#This Row],[BB_Mean]]="", "", tbl_QCOM[[#This Row],[BB_Mean]]-(BB_Width*tbl_QCOM[[#This Row],[BB_Stdev]]))</f>
        <v>107.40280815687936</v>
      </c>
      <c r="M23" s="46">
        <f>IF(ROW(tbl_QCOM[[#This Row],[Adj Close]])=5, 0, $F23-$F22)</f>
        <v>-6.75</v>
      </c>
      <c r="N23" s="46">
        <f>MAX(tbl_QCOM[[#This Row],[Move]],0)</f>
        <v>0</v>
      </c>
      <c r="O23" s="46">
        <f>MAX(-tbl_QCOM[[#This Row],[Move]],0)</f>
        <v>6.75</v>
      </c>
      <c r="P23" s="46">
        <f ca="1">IF(ROW($N23)-5&lt;RSI_Periods, "", AVERAGE(INDIRECT(ADDRESS(ROW($N23)-RSI_Periods +1, MATCH("Upmove", Price_Header,0))): INDIRECT(ADDRESS(ROW($N23),MATCH("Upmove", Price_Header,0)))))</f>
        <v>0.93781599999999998</v>
      </c>
      <c r="Q23" s="46">
        <f ca="1">IF(ROW($O23)-5&lt;RSI_Periods, "", AVERAGE(INDIRECT(ADDRESS(ROW($O23)-RSI_Periods +1, MATCH("Downmove", Price_Header,0))): INDIRECT(ADDRESS(ROW($O23),MATCH("Downmove", Price_Header,0)))))</f>
        <v>0.70239142857142822</v>
      </c>
      <c r="R23" s="46">
        <f ca="1">IF(tbl_QCOM[[#This Row],[Avg_Upmove]]="", "", tbl_QCOM[[#This Row],[Avg_Upmove]]/tbl_QCOM[[#This Row],[Avg_Downmove]])</f>
        <v>1.3351757465312388</v>
      </c>
      <c r="S23" s="10">
        <f ca="1">IF(ROW($N23)-4&lt;BB_Periods, "", _xlfn.STDEV.S(INDIRECT(ADDRESS(ROW($F23)-RSI_Periods +1, MATCH("Adj Close", Price_Header,0))): INDIRECT(ADDRESS(ROW($F23),MATCH("Adj Close", Price_Header,0)))))</f>
        <v>3.9552666358460433</v>
      </c>
    </row>
    <row r="24" spans="1:19" x14ac:dyDescent="0.35">
      <c r="A24" s="8">
        <v>44078</v>
      </c>
      <c r="B24" s="10">
        <v>115.69000200000001</v>
      </c>
      <c r="C24" s="10">
        <v>117.82</v>
      </c>
      <c r="D24" s="10">
        <v>112.379997</v>
      </c>
      <c r="E24" s="10">
        <v>115.970001</v>
      </c>
      <c r="F24" s="10">
        <v>115.970001</v>
      </c>
      <c r="G24">
        <v>11064300</v>
      </c>
      <c r="H24" s="10">
        <f>IF(tbl_QCOM[[#This Row],[Date]]=$A$5, $F24, EMA_Beta*$H23 + (1-EMA_Beta)*$F24)</f>
        <v>114.83424502341852</v>
      </c>
      <c r="I24" s="46">
        <f ca="1">IF(tbl_QCOM[[#This Row],[RS]]= "", "", 100-(100/(1+tbl_QCOM[[#This Row],[RS]])))</f>
        <v>60.030591797751391</v>
      </c>
      <c r="J24" s="10">
        <f ca="1">IF(ROW($N24)-4&lt;BB_Periods, "", AVERAGE(INDIRECT(ADDRESS(ROW($F24)-RSI_Periods +1, MATCH("Adj Close", Price_Header,0))): INDIRECT(ADDRESS(ROW($F24),MATCH("Adj Close", Price_Header,0)))))</f>
        <v>115.6267432857143</v>
      </c>
      <c r="K24" s="10">
        <f ca="1">IF(tbl_QCOM[[#This Row],[BB_Mean]]="", "", tbl_QCOM[[#This Row],[BB_Mean]]+(BB_Width*tbl_QCOM[[#This Row],[BB_Stdev]]))</f>
        <v>123.24271325279011</v>
      </c>
      <c r="L24" s="10">
        <f ca="1">IF(tbl_QCOM[[#This Row],[BB_Mean]]="", "", tbl_QCOM[[#This Row],[BB_Mean]]-(BB_Width*tbl_QCOM[[#This Row],[BB_Stdev]]))</f>
        <v>108.01077331863848</v>
      </c>
      <c r="M24" s="46">
        <f>IF(ROW(tbl_QCOM[[#This Row],[Adj Close]])=5, 0, $F24-$F23)</f>
        <v>-0.45999900000001048</v>
      </c>
      <c r="N24" s="46">
        <f>MAX(tbl_QCOM[[#This Row],[Move]],0)</f>
        <v>0</v>
      </c>
      <c r="O24" s="46">
        <f>MAX(-tbl_QCOM[[#This Row],[Move]],0)</f>
        <v>0.45999900000001048</v>
      </c>
      <c r="P24" s="46">
        <f ca="1">IF(ROW($N24)-5&lt;RSI_Periods, "", AVERAGE(INDIRECT(ADDRESS(ROW($N24)-RSI_Periods +1, MATCH("Upmove", Price_Header,0))): INDIRECT(ADDRESS(ROW($N24),MATCH("Upmove", Price_Header,0)))))</f>
        <v>0.93781599999999998</v>
      </c>
      <c r="Q24" s="46">
        <f ca="1">IF(ROW($O24)-5&lt;RSI_Periods, "", AVERAGE(INDIRECT(ADDRESS(ROW($O24)-RSI_Periods +1, MATCH("Downmove", Price_Header,0))): INDIRECT(ADDRESS(ROW($O24),MATCH("Downmove", Price_Header,0)))))</f>
        <v>0.62441414285714303</v>
      </c>
      <c r="R24" s="46">
        <f ca="1">IF(tbl_QCOM[[#This Row],[Avg_Upmove]]="", "", tbl_QCOM[[#This Row],[Avg_Upmove]]/tbl_QCOM[[#This Row],[Avg_Downmove]])</f>
        <v>1.5019134507569263</v>
      </c>
      <c r="S24" s="10">
        <f ca="1">IF(ROW($N24)-4&lt;BB_Periods, "", _xlfn.STDEV.S(INDIRECT(ADDRESS(ROW($F24)-RSI_Periods +1, MATCH("Adj Close", Price_Header,0))): INDIRECT(ADDRESS(ROW($F24),MATCH("Adj Close", Price_Header,0)))))</f>
        <v>3.8079849835379096</v>
      </c>
    </row>
    <row r="25" spans="1:19" x14ac:dyDescent="0.35">
      <c r="A25" s="8">
        <v>44082</v>
      </c>
      <c r="B25" s="10">
        <v>111.94000200000001</v>
      </c>
      <c r="C25" s="10">
        <v>113.879997</v>
      </c>
      <c r="D25" s="10">
        <v>109.620003</v>
      </c>
      <c r="E25" s="10">
        <v>109.769997</v>
      </c>
      <c r="F25" s="10">
        <v>109.769997</v>
      </c>
      <c r="G25">
        <v>10245200</v>
      </c>
      <c r="H25" s="10">
        <f>IF(tbl_QCOM[[#This Row],[Date]]=$A$5, $F25, EMA_Beta*$H24 + (1-EMA_Beta)*$F25)</f>
        <v>114.32782022107666</v>
      </c>
      <c r="I25" s="46">
        <f ca="1">IF(tbl_QCOM[[#This Row],[RS]]= "", "", 100-(100/(1+tbl_QCOM[[#This Row],[RS]])))</f>
        <v>47.021758957393423</v>
      </c>
      <c r="J25" s="10">
        <f ca="1">IF(ROW($N25)-4&lt;BB_Periods, "", AVERAGE(INDIRECT(ADDRESS(ROW($F25)-RSI_Periods +1, MATCH("Adj Close", Price_Header,0))): INDIRECT(ADDRESS(ROW($F25),MATCH("Adj Close", Price_Header,0)))))</f>
        <v>115.50794542857145</v>
      </c>
      <c r="K25" s="10">
        <f ca="1">IF(tbl_QCOM[[#This Row],[BB_Mean]]="", "", tbl_QCOM[[#This Row],[BB_Mean]]+(BB_Width*tbl_QCOM[[#This Row],[BB_Stdev]]))</f>
        <v>123.45057741264925</v>
      </c>
      <c r="L25" s="10">
        <f ca="1">IF(tbl_QCOM[[#This Row],[BB_Mean]]="", "", tbl_QCOM[[#This Row],[BB_Mean]]-(BB_Width*tbl_QCOM[[#This Row],[BB_Stdev]]))</f>
        <v>107.56531344449364</v>
      </c>
      <c r="M25" s="46">
        <f>IF(ROW(tbl_QCOM[[#This Row],[Adj Close]])=5, 0, $F25-$F24)</f>
        <v>-6.2000039999999927</v>
      </c>
      <c r="N25" s="46">
        <f>MAX(tbl_QCOM[[#This Row],[Move]],0)</f>
        <v>0</v>
      </c>
      <c r="O25" s="46">
        <f>MAX(-tbl_QCOM[[#This Row],[Move]],0)</f>
        <v>6.2000039999999927</v>
      </c>
      <c r="P25" s="46">
        <f ca="1">IF(ROW($N25)-5&lt;RSI_Periods, "", AVERAGE(INDIRECT(ADDRESS(ROW($N25)-RSI_Periods +1, MATCH("Upmove", Price_Header,0))): INDIRECT(ADDRESS(ROW($N25),MATCH("Upmove", Price_Header,0)))))</f>
        <v>0.93781599999999998</v>
      </c>
      <c r="Q25" s="46">
        <f ca="1">IF(ROW($O25)-5&lt;RSI_Periods, "", AVERAGE(INDIRECT(ADDRESS(ROW($O25)-RSI_Periods +1, MATCH("Downmove", Price_Header,0))): INDIRECT(ADDRESS(ROW($O25),MATCH("Downmove", Price_Header,0)))))</f>
        <v>1.0566138571428567</v>
      </c>
      <c r="R25" s="46">
        <f ca="1">IF(tbl_QCOM[[#This Row],[Avg_Upmove]]="", "", tbl_QCOM[[#This Row],[Avg_Upmove]]/tbl_QCOM[[#This Row],[Avg_Downmove]])</f>
        <v>0.88756738676124047</v>
      </c>
      <c r="S25" s="10">
        <f ca="1">IF(ROW($N25)-4&lt;BB_Periods, "", _xlfn.STDEV.S(INDIRECT(ADDRESS(ROW($F25)-RSI_Periods +1, MATCH("Adj Close", Price_Header,0))): INDIRECT(ADDRESS(ROW($F25),MATCH("Adj Close", Price_Header,0)))))</f>
        <v>3.9713159920389041</v>
      </c>
    </row>
    <row r="26" spans="1:19" x14ac:dyDescent="0.35">
      <c r="A26" s="8">
        <v>44083</v>
      </c>
      <c r="B26" s="10">
        <v>113.480003</v>
      </c>
      <c r="C26" s="10">
        <v>115.769997</v>
      </c>
      <c r="D26" s="10">
        <v>112.300003</v>
      </c>
      <c r="E26" s="10">
        <v>114.019997</v>
      </c>
      <c r="F26" s="10">
        <v>114.019997</v>
      </c>
      <c r="G26">
        <v>9708400</v>
      </c>
      <c r="H26" s="10">
        <f>IF(tbl_QCOM[[#This Row],[Date]]=$A$5, $F26, EMA_Beta*$H25 + (1-EMA_Beta)*$F26)</f>
        <v>114.29703789896899</v>
      </c>
      <c r="I26" s="46">
        <f ca="1">IF(tbl_QCOM[[#This Row],[RS]]= "", "", 100-(100/(1+tbl_QCOM[[#This Row],[RS]])))</f>
        <v>55.725967163748308</v>
      </c>
      <c r="J26" s="10">
        <f ca="1">IF(ROW($N26)-4&lt;BB_Periods, "", AVERAGE(INDIRECT(ADDRESS(ROW($F26)-RSI_Periods +1, MATCH("Adj Close", Price_Header,0))): INDIRECT(ADDRESS(ROW($F26),MATCH("Adj Close", Price_Header,0)))))</f>
        <v>115.76305607142858</v>
      </c>
      <c r="K26" s="10">
        <f ca="1">IF(tbl_QCOM[[#This Row],[BB_Mean]]="", "", tbl_QCOM[[#This Row],[BB_Mean]]+(BB_Width*tbl_QCOM[[#This Row],[BB_Stdev]]))</f>
        <v>123.22025487211451</v>
      </c>
      <c r="L26" s="10">
        <f ca="1">IF(tbl_QCOM[[#This Row],[BB_Mean]]="", "", tbl_QCOM[[#This Row],[BB_Mean]]-(BB_Width*tbl_QCOM[[#This Row],[BB_Stdev]]))</f>
        <v>108.30585727074265</v>
      </c>
      <c r="M26" s="46">
        <f>IF(ROW(tbl_QCOM[[#This Row],[Adj Close]])=5, 0, $F26-$F25)</f>
        <v>4.25</v>
      </c>
      <c r="N26" s="46">
        <f>MAX(tbl_QCOM[[#This Row],[Move]],0)</f>
        <v>4.25</v>
      </c>
      <c r="O26" s="46">
        <f>MAX(-tbl_QCOM[[#This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1.2413874285714286</v>
      </c>
      <c r="Q26" s="46">
        <f ca="1">IF(ROW($O26)-5&lt;RSI_Periods, "", AVERAGE(INDIRECT(ADDRESS(ROW($O26)-RSI_Periods +1, MATCH("Downmove", Price_Header,0))): INDIRECT(ADDRESS(ROW($O26),MATCH("Downmove", Price_Header,0)))))</f>
        <v>0.98627678571428545</v>
      </c>
      <c r="R26" s="46">
        <f ca="1">IF(tbl_QCOM[[#This Row],[Avg_Upmove]]="", "", tbl_QCOM[[#This Row],[Avg_Upmove]]/tbl_QCOM[[#This Row],[Avg_Downmove]])</f>
        <v>1.2586602934919389</v>
      </c>
      <c r="S26" s="10">
        <f ca="1">IF(ROW($N26)-4&lt;BB_Periods, "", _xlfn.STDEV.S(INDIRECT(ADDRESS(ROW($F26)-RSI_Periods +1, MATCH("Adj Close", Price_Header,0))): INDIRECT(ADDRESS(ROW($F26),MATCH("Adj Close", Price_Header,0)))))</f>
        <v>3.7285994003429641</v>
      </c>
    </row>
    <row r="27" spans="1:19" x14ac:dyDescent="0.35">
      <c r="A27" s="8">
        <v>44084</v>
      </c>
      <c r="B27" s="10">
        <v>115.150002</v>
      </c>
      <c r="C27" s="10">
        <v>115.80999799999999</v>
      </c>
      <c r="D27" s="10">
        <v>111.57</v>
      </c>
      <c r="E27" s="10">
        <v>112.44000200000001</v>
      </c>
      <c r="F27" s="10">
        <v>112.44000200000001</v>
      </c>
      <c r="G27">
        <v>6166300</v>
      </c>
      <c r="H27" s="10">
        <f>IF(tbl_QCOM[[#This Row],[Date]]=$A$5, $F27, EMA_Beta*$H26 + (1-EMA_Beta)*$F27)</f>
        <v>114.11133430907211</v>
      </c>
      <c r="I27" s="46">
        <f ca="1">IF(tbl_QCOM[[#This Row],[RS]]= "", "", 100-(100/(1+tbl_QCOM[[#This Row],[RS]])))</f>
        <v>53.657886416197876</v>
      </c>
      <c r="J27" s="10">
        <f ca="1">IF(ROW($N27)-4&lt;BB_Periods, "", AVERAGE(INDIRECT(ADDRESS(ROW($F27)-RSI_Periods +1, MATCH("Adj Close", Price_Header,0))): INDIRECT(ADDRESS(ROW($F27),MATCH("Adj Close", Price_Header,0)))))</f>
        <v>115.93230814285717</v>
      </c>
      <c r="K27" s="10">
        <f ca="1">IF(tbl_QCOM[[#This Row],[BB_Mean]]="", "", tbl_QCOM[[#This Row],[BB_Mean]]+(BB_Width*tbl_QCOM[[#This Row],[BB_Stdev]]))</f>
        <v>122.92610834219978</v>
      </c>
      <c r="L27" s="10">
        <f ca="1">IF(tbl_QCOM[[#This Row],[BB_Mean]]="", "", tbl_QCOM[[#This Row],[BB_Mean]]-(BB_Width*tbl_QCOM[[#This Row],[BB_Stdev]]))</f>
        <v>108.93850794351455</v>
      </c>
      <c r="M27" s="46">
        <f>IF(ROW(tbl_QCOM[[#This Row],[Adj Close]])=5, 0, $F27-$F26)</f>
        <v>-1.5799949999999967</v>
      </c>
      <c r="N27" s="46">
        <f>MAX(tbl_QCOM[[#This Row],[Move]],0)</f>
        <v>0</v>
      </c>
      <c r="O27" s="46">
        <f>MAX(-tbl_QCOM[[#This Row],[Move]],0)</f>
        <v>1.5799949999999967</v>
      </c>
      <c r="P27" s="46">
        <f ca="1">IF(ROW($N27)-5&lt;RSI_Periods, "", AVERAGE(INDIRECT(ADDRESS(ROW($N27)-RSI_Periods +1, MATCH("Upmove", Price_Header,0))): INDIRECT(ADDRESS(ROW($N27),MATCH("Upmove", Price_Header,0)))))</f>
        <v>1.2413874285714286</v>
      </c>
      <c r="Q27" s="46">
        <f ca="1">IF(ROW($O27)-5&lt;RSI_Periods, "", AVERAGE(INDIRECT(ADDRESS(ROW($O27)-RSI_Periods +1, MATCH("Downmove", Price_Header,0))): INDIRECT(ADDRESS(ROW($O27),MATCH("Downmove", Price_Header,0)))))</f>
        <v>1.0721353571428571</v>
      </c>
      <c r="R27" s="46">
        <f ca="1">IF(tbl_QCOM[[#This Row],[Avg_Upmove]]="", "", tbl_QCOM[[#This Row],[Avg_Upmove]]/tbl_QCOM[[#This Row],[Avg_Downmove]])</f>
        <v>1.1578644620765168</v>
      </c>
      <c r="S27" s="10">
        <f ca="1">IF(ROW($N27)-4&lt;BB_Periods, "", _xlfn.STDEV.S(INDIRECT(ADDRESS(ROW($F27)-RSI_Periods +1, MATCH("Adj Close", Price_Header,0))): INDIRECT(ADDRESS(ROW($F27),MATCH("Adj Close", Price_Header,0)))))</f>
        <v>3.4969000996713073</v>
      </c>
    </row>
    <row r="28" spans="1:19" x14ac:dyDescent="0.35">
      <c r="A28" s="8">
        <v>44085</v>
      </c>
      <c r="B28" s="10">
        <v>113.379997</v>
      </c>
      <c r="C28" s="10">
        <v>114.849998</v>
      </c>
      <c r="D28" s="10">
        <v>112.400002</v>
      </c>
      <c r="E28" s="10">
        <v>113.41999800000001</v>
      </c>
      <c r="F28" s="10">
        <v>113.41999800000001</v>
      </c>
      <c r="G28">
        <v>6740200</v>
      </c>
      <c r="H28" s="10">
        <f>IF(tbl_QCOM[[#This Row],[Date]]=$A$5, $F28, EMA_Beta*$H27 + (1-EMA_Beta)*$F28)</f>
        <v>114.04220067816489</v>
      </c>
      <c r="I28" s="46">
        <f ca="1">IF(tbl_QCOM[[#This Row],[RS]]= "", "", 100-(100/(1+tbl_QCOM[[#This Row],[RS]])))</f>
        <v>51.646160167657889</v>
      </c>
      <c r="J28" s="10">
        <f ca="1">IF(ROW($N28)-4&lt;BB_Periods, "", AVERAGE(INDIRECT(ADDRESS(ROW($F28)-RSI_Periods +1, MATCH("Adj Close", Price_Header,0))): INDIRECT(ADDRESS(ROW($F28),MATCH("Adj Close", Price_Header,0)))))</f>
        <v>116.00530778571431</v>
      </c>
      <c r="K28" s="10">
        <f ca="1">IF(tbl_QCOM[[#This Row],[BB_Mean]]="", "", tbl_QCOM[[#This Row],[BB_Mean]]+(BB_Width*tbl_QCOM[[#This Row],[BB_Stdev]]))</f>
        <v>122.86015038915068</v>
      </c>
      <c r="L28" s="10">
        <f ca="1">IF(tbl_QCOM[[#This Row],[BB_Mean]]="", "", tbl_QCOM[[#This Row],[BB_Mean]]-(BB_Width*tbl_QCOM[[#This Row],[BB_Stdev]]))</f>
        <v>109.15046518227794</v>
      </c>
      <c r="M28" s="46">
        <f>IF(ROW(tbl_QCOM[[#This Row],[Adj Close]])=5, 0, $F28-$F27)</f>
        <v>0.97999599999999987</v>
      </c>
      <c r="N28" s="46">
        <f>MAX(tbl_QCOM[[#This Row],[Move]],0)</f>
        <v>0.97999599999999987</v>
      </c>
      <c r="O28" s="46">
        <f>MAX(-tbl_QCOM[[#This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1.1451350000000002</v>
      </c>
      <c r="Q28" s="46">
        <f ca="1">IF(ROW($O28)-5&lt;RSI_Periods, "", AVERAGE(INDIRECT(ADDRESS(ROW($O28)-RSI_Periods +1, MATCH("Downmove", Price_Header,0))): INDIRECT(ADDRESS(ROW($O28),MATCH("Downmove", Price_Header,0)))))</f>
        <v>1.0721353571428571</v>
      </c>
      <c r="R28" s="46">
        <f ca="1">IF(tbl_QCOM[[#This Row],[Avg_Upmove]]="", "", tbl_QCOM[[#This Row],[Avg_Upmove]]/tbl_QCOM[[#This Row],[Avg_Downmove]])</f>
        <v>1.0680880845602188</v>
      </c>
      <c r="S28" s="10">
        <f ca="1">IF(ROW($N28)-4&lt;BB_Periods, "", _xlfn.STDEV.S(INDIRECT(ADDRESS(ROW($F28)-RSI_Periods +1, MATCH("Adj Close", Price_Header,0))): INDIRECT(ADDRESS(ROW($F28),MATCH("Adj Close", Price_Header,0)))))</f>
        <v>3.4274213017181814</v>
      </c>
    </row>
    <row r="29" spans="1:19" x14ac:dyDescent="0.35">
      <c r="A29" s="8">
        <v>44088</v>
      </c>
      <c r="B29" s="10">
        <v>115.239998</v>
      </c>
      <c r="C29" s="10">
        <v>115.43</v>
      </c>
      <c r="D29" s="10">
        <v>112.650002</v>
      </c>
      <c r="E29" s="10">
        <v>113.459999</v>
      </c>
      <c r="F29" s="10">
        <v>113.459999</v>
      </c>
      <c r="G29">
        <v>5397300</v>
      </c>
      <c r="H29" s="10">
        <f>IF(tbl_QCOM[[#This Row],[Date]]=$A$5, $F29, EMA_Beta*$H28 + (1-EMA_Beta)*$F29)</f>
        <v>113.9839805103484</v>
      </c>
      <c r="I29" s="46">
        <f ca="1">IF(tbl_QCOM[[#This Row],[RS]]= "", "", 100-(100/(1+tbl_QCOM[[#This Row],[RS]])))</f>
        <v>46.749413902423953</v>
      </c>
      <c r="J29" s="10">
        <f ca="1">IF(ROW($N29)-4&lt;BB_Periods, "", AVERAGE(INDIRECT(ADDRESS(ROW($F29)-RSI_Periods +1, MATCH("Adj Close", Price_Header,0))): INDIRECT(ADDRESS(ROW($F29),MATCH("Adj Close", Price_Header,0)))))</f>
        <v>115.87441464285715</v>
      </c>
      <c r="K29" s="10">
        <f ca="1">IF(tbl_QCOM[[#This Row],[BB_Mean]]="", "", tbl_QCOM[[#This Row],[BB_Mean]]+(BB_Width*tbl_QCOM[[#This Row],[BB_Stdev]]))</f>
        <v>122.85668806758437</v>
      </c>
      <c r="L29" s="10">
        <f ca="1">IF(tbl_QCOM[[#This Row],[BB_Mean]]="", "", tbl_QCOM[[#This Row],[BB_Mean]]-(BB_Width*tbl_QCOM[[#This Row],[BB_Stdev]]))</f>
        <v>108.89214121812992</v>
      </c>
      <c r="M29" s="46">
        <f>IF(ROW(tbl_QCOM[[#This Row],[Adj Close]])=5, 0, $F29-$F28)</f>
        <v>4.0000999999989517E-2</v>
      </c>
      <c r="N29" s="46">
        <f>MAX(tbl_QCOM[[#This Row],[Move]],0)</f>
        <v>4.0000999999989517E-2</v>
      </c>
      <c r="O29" s="46">
        <f>MAX(-tbl_QCOM[[#This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0.94124221428571431</v>
      </c>
      <c r="Q29" s="46">
        <f ca="1">IF(ROW($O29)-5&lt;RSI_Periods, "", AVERAGE(INDIRECT(ADDRESS(ROW($O29)-RSI_Periods +1, MATCH("Downmove", Price_Header,0))): INDIRECT(ADDRESS(ROW($O29),MATCH("Downmove", Price_Header,0)))))</f>
        <v>1.0721353571428571</v>
      </c>
      <c r="R29" s="46">
        <f ca="1">IF(tbl_QCOM[[#This Row],[Avg_Upmove]]="", "", tbl_QCOM[[#This Row],[Avg_Upmove]]/tbl_QCOM[[#This Row],[Avg_Downmove]])</f>
        <v>0.87791360299322552</v>
      </c>
      <c r="S29" s="10">
        <f ca="1">IF(ROW($N29)-4&lt;BB_Periods, "", _xlfn.STDEV.S(INDIRECT(ADDRESS(ROW($F29)-RSI_Periods +1, MATCH("Adj Close", Price_Header,0))): INDIRECT(ADDRESS(ROW($F29),MATCH("Adj Close", Price_Header,0)))))</f>
        <v>3.4911367123636117</v>
      </c>
    </row>
    <row r="30" spans="1:19" x14ac:dyDescent="0.35">
      <c r="A30" s="8">
        <v>44089</v>
      </c>
      <c r="B30" s="10">
        <v>114.94000200000001</v>
      </c>
      <c r="C30" s="10">
        <v>117.80999799999999</v>
      </c>
      <c r="D30" s="10">
        <v>114.790001</v>
      </c>
      <c r="E30" s="10">
        <v>116.58000199999999</v>
      </c>
      <c r="F30" s="10">
        <v>116.58000199999999</v>
      </c>
      <c r="G30">
        <v>8773700</v>
      </c>
      <c r="H30" s="10">
        <f>IF(tbl_QCOM[[#This Row],[Date]]=$A$5, $F30, EMA_Beta*$H29 + (1-EMA_Beta)*$F30)</f>
        <v>114.24358265931357</v>
      </c>
      <c r="I30" s="46">
        <f ca="1">IF(tbl_QCOM[[#This Row],[RS]]= "", "", 100-(100/(1+tbl_QCOM[[#This Row],[RS]])))</f>
        <v>51.995232495175721</v>
      </c>
      <c r="J30" s="10">
        <f ca="1">IF(ROW($N30)-4&lt;BB_Periods, "", AVERAGE(INDIRECT(ADDRESS(ROW($F30)-RSI_Periods +1, MATCH("Adj Close", Price_Header,0))): INDIRECT(ADDRESS(ROW($F30),MATCH("Adj Close", Price_Header,0)))))</f>
        <v>115.96353742857143</v>
      </c>
      <c r="K30" s="10">
        <f ca="1">IF(tbl_QCOM[[#This Row],[BB_Mean]]="", "", tbl_QCOM[[#This Row],[BB_Mean]]+(BB_Width*tbl_QCOM[[#This Row],[BB_Stdev]]))</f>
        <v>122.94785411635729</v>
      </c>
      <c r="L30" s="10">
        <f ca="1">IF(tbl_QCOM[[#This Row],[BB_Mean]]="", "", tbl_QCOM[[#This Row],[BB_Mean]]-(BB_Width*tbl_QCOM[[#This Row],[BB_Stdev]]))</f>
        <v>108.97922074078556</v>
      </c>
      <c r="M30" s="46">
        <f>IF(ROW(tbl_QCOM[[#This Row],[Adj Close]])=5, 0, $F30-$F29)</f>
        <v>3.120002999999997</v>
      </c>
      <c r="N30" s="46">
        <f>MAX(tbl_QCOM[[#This Row],[Move]],0)</f>
        <v>3.120002999999997</v>
      </c>
      <c r="O30" s="46">
        <f>MAX(-tbl_QCOM[[#This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1.161258142857142</v>
      </c>
      <c r="Q30" s="46">
        <f ca="1">IF(ROW($O30)-5&lt;RSI_Periods, "", AVERAGE(INDIRECT(ADDRESS(ROW($O30)-RSI_Periods +1, MATCH("Downmove", Price_Header,0))): INDIRECT(ADDRESS(ROW($O30),MATCH("Downmove", Price_Header,0)))))</f>
        <v>1.0721353571428571</v>
      </c>
      <c r="R30" s="46">
        <f ca="1">IF(tbl_QCOM[[#This Row],[Avg_Upmove]]="", "", tbl_QCOM[[#This Row],[Avg_Upmove]]/tbl_QCOM[[#This Row],[Avg_Downmove]])</f>
        <v>1.0831264309310618</v>
      </c>
      <c r="S30" s="10">
        <f ca="1">IF(ROW($N30)-4&lt;BB_Periods, "", _xlfn.STDEV.S(INDIRECT(ADDRESS(ROW($F30)-RSI_Periods +1, MATCH("Adj Close", Price_Header,0))): INDIRECT(ADDRESS(ROW($F30),MATCH("Adj Close", Price_Header,0)))))</f>
        <v>3.4921583438929318</v>
      </c>
    </row>
    <row r="31" spans="1:19" x14ac:dyDescent="0.35">
      <c r="A31" s="8">
        <v>44090</v>
      </c>
      <c r="B31" s="10">
        <v>118</v>
      </c>
      <c r="C31" s="10">
        <v>118</v>
      </c>
      <c r="D31" s="10">
        <v>114.540001</v>
      </c>
      <c r="E31" s="10">
        <v>114.55999799999999</v>
      </c>
      <c r="F31" s="10">
        <v>114.55999799999999</v>
      </c>
      <c r="G31">
        <v>6340100</v>
      </c>
      <c r="H31" s="10">
        <f>IF(tbl_QCOM[[#This Row],[Date]]=$A$5, $F31, EMA_Beta*$H30 + (1-EMA_Beta)*$F31)</f>
        <v>114.27522419338221</v>
      </c>
      <c r="I31" s="46">
        <f ca="1">IF(tbl_QCOM[[#This Row],[RS]]= "", "", 100-(100/(1+tbl_QCOM[[#This Row],[RS]])))</f>
        <v>48.702017802885038</v>
      </c>
      <c r="J31" s="10">
        <f ca="1">IF(ROW($N31)-4&lt;BB_Periods, "", AVERAGE(INDIRECT(ADDRESS(ROW($F31)-RSI_Periods +1, MATCH("Adj Close", Price_Header,0))): INDIRECT(ADDRESS(ROW($F31),MATCH("Adj Close", Price_Header,0)))))</f>
        <v>115.90197971428573</v>
      </c>
      <c r="K31" s="10">
        <f ca="1">IF(tbl_QCOM[[#This Row],[BB_Mean]]="", "", tbl_QCOM[[#This Row],[BB_Mean]]+(BB_Width*tbl_QCOM[[#This Row],[BB_Stdev]]))</f>
        <v>122.92196454312958</v>
      </c>
      <c r="L31" s="10">
        <f ca="1">IF(tbl_QCOM[[#This Row],[BB_Mean]]="", "", tbl_QCOM[[#This Row],[BB_Mean]]-(BB_Width*tbl_QCOM[[#This Row],[BB_Stdev]]))</f>
        <v>108.88199488544188</v>
      </c>
      <c r="M31" s="46">
        <f>IF(ROW(tbl_QCOM[[#This Row],[Adj Close]])=5, 0, $F31-$F30)</f>
        <v>-2.0200040000000001</v>
      </c>
      <c r="N31" s="46">
        <f>MAX(tbl_QCOM[[#This Row],[Move]],0)</f>
        <v>0</v>
      </c>
      <c r="O31" s="46">
        <f>MAX(-tbl_QCOM[[#This Row],[Move]],0)</f>
        <v>2.0200040000000001</v>
      </c>
      <c r="P31" s="46">
        <f ca="1">IF(ROW($N31)-5&lt;RSI_Periods, "", AVERAGE(INDIRECT(ADDRESS(ROW($N31)-RSI_Periods +1, MATCH("Upmove", Price_Header,0))): INDIRECT(ADDRESS(ROW($N31),MATCH("Upmove", Price_Header,0)))))</f>
        <v>1.1548636428571422</v>
      </c>
      <c r="Q31" s="46">
        <f ca="1">IF(ROW($O31)-5&lt;RSI_Periods, "", AVERAGE(INDIRECT(ADDRESS(ROW($O31)-RSI_Periods +1, MATCH("Downmove", Price_Header,0))): INDIRECT(ADDRESS(ROW($O31),MATCH("Downmove", Price_Header,0)))))</f>
        <v>1.2164213571428573</v>
      </c>
      <c r="R31" s="46">
        <f ca="1">IF(tbl_QCOM[[#This Row],[Avg_Upmove]]="", "", tbl_QCOM[[#This Row],[Avg_Upmove]]/tbl_QCOM[[#This Row],[Avg_Downmove]])</f>
        <v>0.94939441508138056</v>
      </c>
      <c r="S31" s="10">
        <f ca="1">IF(ROW($N31)-4&lt;BB_Periods, "", _xlfn.STDEV.S(INDIRECT(ADDRESS(ROW($F31)-RSI_Periods +1, MATCH("Adj Close", Price_Header,0))): INDIRECT(ADDRESS(ROW($F31),MATCH("Adj Close", Price_Header,0)))))</f>
        <v>3.509992414421923</v>
      </c>
    </row>
    <row r="32" spans="1:19" x14ac:dyDescent="0.35">
      <c r="A32" s="8">
        <v>44091</v>
      </c>
      <c r="B32" s="10">
        <v>111.91999800000001</v>
      </c>
      <c r="C32" s="10">
        <v>115.699997</v>
      </c>
      <c r="D32" s="10">
        <v>111</v>
      </c>
      <c r="E32" s="10">
        <v>114.879997</v>
      </c>
      <c r="F32" s="10">
        <v>114.879997</v>
      </c>
      <c r="G32">
        <v>7418100</v>
      </c>
      <c r="H32" s="10">
        <f>IF(tbl_QCOM[[#This Row],[Date]]=$A$5, $F32, EMA_Beta*$H31 + (1-EMA_Beta)*$F32)</f>
        <v>114.335701474044</v>
      </c>
      <c r="I32" s="46">
        <f ca="1">IF(tbl_QCOM[[#This Row],[RS]]= "", "", 100-(100/(1+tbl_QCOM[[#This Row],[RS]])))</f>
        <v>49.220982496555322</v>
      </c>
      <c r="J32" s="10">
        <f ca="1">IF(ROW($N32)-4&lt;BB_Periods, "", AVERAGE(INDIRECT(ADDRESS(ROW($F32)-RSI_Periods +1, MATCH("Adj Close", Price_Header,0))): INDIRECT(ADDRESS(ROW($F32),MATCH("Adj Close", Price_Header,0)))))</f>
        <v>115.86470028571428</v>
      </c>
      <c r="K32" s="10">
        <f ca="1">IF(tbl_QCOM[[#This Row],[BB_Mean]]="", "", tbl_QCOM[[#This Row],[BB_Mean]]+(BB_Width*tbl_QCOM[[#This Row],[BB_Stdev]]))</f>
        <v>122.90164737526692</v>
      </c>
      <c r="L32" s="10">
        <f ca="1">IF(tbl_QCOM[[#This Row],[BB_Mean]]="", "", tbl_QCOM[[#This Row],[BB_Mean]]-(BB_Width*tbl_QCOM[[#This Row],[BB_Stdev]]))</f>
        <v>108.82775319616164</v>
      </c>
      <c r="M32" s="46">
        <f>IF(ROW(tbl_QCOM[[#This Row],[Adj Close]])=5, 0, $F32-$F31)</f>
        <v>0.31999900000000991</v>
      </c>
      <c r="N32" s="46">
        <f>MAX(tbl_QCOM[[#This Row],[Move]],0)</f>
        <v>0.31999900000000991</v>
      </c>
      <c r="O32" s="46">
        <f>MAX(-tbl_QCOM[[#This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1.1777207142857142</v>
      </c>
      <c r="Q32" s="46">
        <f ca="1">IF(ROW($O32)-5&lt;RSI_Periods, "", AVERAGE(INDIRECT(ADDRESS(ROW($O32)-RSI_Periods +1, MATCH("Downmove", Price_Header,0))): INDIRECT(ADDRESS(ROW($O32),MATCH("Downmove", Price_Header,0)))))</f>
        <v>1.2150001428571429</v>
      </c>
      <c r="R32" s="46">
        <f ca="1">IF(tbl_QCOM[[#This Row],[Avg_Upmove]]="", "", tbl_QCOM[[#This Row],[Avg_Upmove]]/tbl_QCOM[[#This Row],[Avg_Downmove]])</f>
        <v>0.96931734634716671</v>
      </c>
      <c r="S32" s="10">
        <f ca="1">IF(ROW($N32)-4&lt;BB_Periods, "", _xlfn.STDEV.S(INDIRECT(ADDRESS(ROW($F32)-RSI_Periods +1, MATCH("Adj Close", Price_Header,0))): INDIRECT(ADDRESS(ROW($F32),MATCH("Adj Close", Price_Header,0)))))</f>
        <v>3.518473544776318</v>
      </c>
    </row>
    <row r="33" spans="1:19" x14ac:dyDescent="0.35">
      <c r="A33" s="8">
        <v>44092</v>
      </c>
      <c r="B33" s="10">
        <v>115.040001</v>
      </c>
      <c r="C33" s="10">
        <v>115.43</v>
      </c>
      <c r="D33" s="10">
        <v>109.800003</v>
      </c>
      <c r="E33" s="10">
        <v>110.69000200000001</v>
      </c>
      <c r="F33" s="10">
        <v>110.69000200000001</v>
      </c>
      <c r="G33">
        <v>15443200</v>
      </c>
      <c r="H33" s="10">
        <f>IF(tbl_QCOM[[#This Row],[Date]]=$A$5, $F33, EMA_Beta*$H32 + (1-EMA_Beta)*$F33)</f>
        <v>113.9711315266396</v>
      </c>
      <c r="I33" s="46">
        <f ca="1">IF(tbl_QCOM[[#This Row],[RS]]= "", "", 100-(100/(1+tbl_QCOM[[#This Row],[RS]])))</f>
        <v>40.314817983114111</v>
      </c>
      <c r="J33" s="10">
        <f ca="1">IF(ROW($N33)-4&lt;BB_Periods, "", AVERAGE(INDIRECT(ADDRESS(ROW($F33)-RSI_Periods +1, MATCH("Adj Close", Price_Header,0))): INDIRECT(ADDRESS(ROW($F33),MATCH("Adj Close", Price_Header,0)))))</f>
        <v>115.37325064285713</v>
      </c>
      <c r="K33" s="10">
        <f ca="1">IF(tbl_QCOM[[#This Row],[BB_Mean]]="", "", tbl_QCOM[[#This Row],[BB_Mean]]+(BB_Width*tbl_QCOM[[#This Row],[BB_Stdev]]))</f>
        <v>122.84468656261015</v>
      </c>
      <c r="L33" s="10">
        <f ca="1">IF(tbl_QCOM[[#This Row],[BB_Mean]]="", "", tbl_QCOM[[#This Row],[BB_Mean]]-(BB_Width*tbl_QCOM[[#This Row],[BB_Stdev]]))</f>
        <v>107.90181472310411</v>
      </c>
      <c r="M33" s="46">
        <f>IF(ROW(tbl_QCOM[[#This Row],[Adj Close]])=5, 0, $F33-$F32)</f>
        <v>-4.1899949999999961</v>
      </c>
      <c r="N33" s="46">
        <f>MAX(tbl_QCOM[[#This Row],[Move]],0)</f>
        <v>0</v>
      </c>
      <c r="O33" s="46">
        <f>MAX(-tbl_QCOM[[#This Row],[Move]],0)</f>
        <v>4.1899949999999961</v>
      </c>
      <c r="P33" s="46">
        <f ca="1">IF(ROW($N33)-5&lt;RSI_Periods, "", AVERAGE(INDIRECT(ADDRESS(ROW($N33)-RSI_Periods +1, MATCH("Upmove", Price_Header,0))): INDIRECT(ADDRESS(ROW($N33),MATCH("Upmove", Price_Header,0)))))</f>
        <v>1.0228358571428575</v>
      </c>
      <c r="Q33" s="46">
        <f ca="1">IF(ROW($O33)-5&lt;RSI_Periods, "", AVERAGE(INDIRECT(ADDRESS(ROW($O33)-RSI_Periods +1, MATCH("Downmove", Price_Header,0))): INDIRECT(ADDRESS(ROW($O33),MATCH("Downmove", Price_Header,0)))))</f>
        <v>1.5142854999999997</v>
      </c>
      <c r="R33" s="46">
        <f ca="1">IF(tbl_QCOM[[#This Row],[Avg_Upmove]]="", "", tbl_QCOM[[#This Row],[Avg_Upmove]]/tbl_QCOM[[#This Row],[Avg_Downmove]])</f>
        <v>0.67545773709307633</v>
      </c>
      <c r="S33" s="10">
        <f ca="1">IF(ROW($N33)-4&lt;BB_Periods, "", _xlfn.STDEV.S(INDIRECT(ADDRESS(ROW($F33)-RSI_Periods +1, MATCH("Adj Close", Price_Header,0))): INDIRECT(ADDRESS(ROW($F33),MATCH("Adj Close", Price_Header,0)))))</f>
        <v>3.7357179598765118</v>
      </c>
    </row>
    <row r="34" spans="1:19" x14ac:dyDescent="0.35">
      <c r="A34" s="8">
        <v>44095</v>
      </c>
      <c r="B34" s="10">
        <v>109.160004</v>
      </c>
      <c r="C34" s="10">
        <v>112.139999</v>
      </c>
      <c r="D34" s="10">
        <v>108.300003</v>
      </c>
      <c r="E34" s="10">
        <v>111.91999800000001</v>
      </c>
      <c r="F34" s="10">
        <v>111.91999800000001</v>
      </c>
      <c r="G34">
        <v>8197600</v>
      </c>
      <c r="H34" s="10">
        <f>IF(tbl_QCOM[[#This Row],[Date]]=$A$5, $F34, EMA_Beta*$H33 + (1-EMA_Beta)*$F34)</f>
        <v>113.76601817397562</v>
      </c>
      <c r="I34" s="46">
        <f ca="1">IF(tbl_QCOM[[#This Row],[RS]]= "", "", 100-(100/(1+tbl_QCOM[[#This Row],[RS]])))</f>
        <v>40.872117975536902</v>
      </c>
      <c r="J34" s="10">
        <f ca="1">IF(ROW($N34)-4&lt;BB_Periods, "", AVERAGE(INDIRECT(ADDRESS(ROW($F34)-RSI_Periods +1, MATCH("Adj Close", Price_Header,0))): INDIRECT(ADDRESS(ROW($F34),MATCH("Adj Close", Price_Header,0)))))</f>
        <v>114.90571421428571</v>
      </c>
      <c r="K34" s="10">
        <f ca="1">IF(tbl_QCOM[[#This Row],[BB_Mean]]="", "", tbl_QCOM[[#This Row],[BB_Mean]]+(BB_Width*tbl_QCOM[[#This Row],[BB_Stdev]]))</f>
        <v>122.36277667301854</v>
      </c>
      <c r="L34" s="10">
        <f ca="1">IF(tbl_QCOM[[#This Row],[BB_Mean]]="", "", tbl_QCOM[[#This Row],[BB_Mean]]-(BB_Width*tbl_QCOM[[#This Row],[BB_Stdev]]))</f>
        <v>107.44865175555287</v>
      </c>
      <c r="M34" s="46">
        <f>IF(ROW(tbl_QCOM[[#This Row],[Adj Close]])=5, 0, $F34-$F33)</f>
        <v>1.2299959999999999</v>
      </c>
      <c r="N34" s="46">
        <f>MAX(tbl_QCOM[[#This Row],[Move]],0)</f>
        <v>1.2299959999999999</v>
      </c>
      <c r="O34" s="46">
        <f>MAX(-tbl_QCOM[[#This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1.0467490714285717</v>
      </c>
      <c r="Q34" s="46">
        <f ca="1">IF(ROW($O34)-5&lt;RSI_Periods, "", AVERAGE(INDIRECT(ADDRESS(ROW($O34)-RSI_Periods +1, MATCH("Downmove", Price_Header,0))): INDIRECT(ADDRESS(ROW($O34),MATCH("Downmove", Price_Header,0)))))</f>
        <v>1.5142854999999997</v>
      </c>
      <c r="R34" s="46">
        <f ca="1">IF(tbl_QCOM[[#This Row],[Avg_Upmove]]="", "", tbl_QCOM[[#This Row],[Avg_Upmove]]/tbl_QCOM[[#This Row],[Avg_Downmove]])</f>
        <v>0.6912494846107764</v>
      </c>
      <c r="S34" s="10">
        <f ca="1">IF(ROW($N34)-4&lt;BB_Periods, "", _xlfn.STDEV.S(INDIRECT(ADDRESS(ROW($F34)-RSI_Periods +1, MATCH("Adj Close", Price_Header,0))): INDIRECT(ADDRESS(ROW($F34),MATCH("Adj Close", Price_Header,0)))))</f>
        <v>3.7285312293664146</v>
      </c>
    </row>
    <row r="35" spans="1:19" x14ac:dyDescent="0.35">
      <c r="A35" s="8">
        <v>44096</v>
      </c>
      <c r="B35" s="10">
        <v>112.610001</v>
      </c>
      <c r="C35" s="10">
        <v>114.25</v>
      </c>
      <c r="D35" s="10">
        <v>110.41999800000001</v>
      </c>
      <c r="E35" s="10">
        <v>113.82</v>
      </c>
      <c r="F35" s="10">
        <v>113.82</v>
      </c>
      <c r="G35">
        <v>6911200</v>
      </c>
      <c r="H35" s="10">
        <f>IF(tbl_QCOM[[#This Row],[Date]]=$A$5, $F35, EMA_Beta*$H34 + (1-EMA_Beta)*$F35)</f>
        <v>113.77141635657806</v>
      </c>
      <c r="I35" s="46">
        <f ca="1">IF(tbl_QCOM[[#This Row],[RS]]= "", "", 100-(100/(1+tbl_QCOM[[#This Row],[RS]])))</f>
        <v>39.185296861564993</v>
      </c>
      <c r="J35" s="10">
        <f ca="1">IF(ROW($N35)-4&lt;BB_Periods, "", AVERAGE(INDIRECT(ADDRESS(ROW($F35)-RSI_Periods +1, MATCH("Adj Close", Price_Header,0))): INDIRECT(ADDRESS(ROW($F35),MATCH("Adj Close", Price_Header,0)))))</f>
        <v>114.36714221428572</v>
      </c>
      <c r="K35" s="10">
        <f ca="1">IF(tbl_QCOM[[#This Row],[BB_Mean]]="", "", tbl_QCOM[[#This Row],[BB_Mean]]+(BB_Width*tbl_QCOM[[#This Row],[BB_Stdev]]))</f>
        <v>120.84040833943827</v>
      </c>
      <c r="L35" s="10">
        <f ca="1">IF(tbl_QCOM[[#This Row],[BB_Mean]]="", "", tbl_QCOM[[#This Row],[BB_Mean]]-(BB_Width*tbl_QCOM[[#This Row],[BB_Stdev]]))</f>
        <v>107.89387608913317</v>
      </c>
      <c r="M35" s="46">
        <f>IF(ROW(tbl_QCOM[[#This Row],[Adj Close]])=5, 0, $F35-$F34)</f>
        <v>1.9000019999999864</v>
      </c>
      <c r="N35" s="46">
        <f>MAX(tbl_QCOM[[#This Row],[Move]],0)</f>
        <v>1.9000019999999864</v>
      </c>
      <c r="O35" s="46">
        <f>MAX(-tbl_QCOM[[#This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0.97571349999999968</v>
      </c>
      <c r="Q35" s="46">
        <f ca="1">IF(ROW($O35)-5&lt;RSI_Periods, "", AVERAGE(INDIRECT(ADDRESS(ROW($O35)-RSI_Periods +1, MATCH("Downmove", Price_Header,0))): INDIRECT(ADDRESS(ROW($O35),MATCH("Downmove", Price_Header,0)))))</f>
        <v>1.5142854999999997</v>
      </c>
      <c r="R35" s="46">
        <f ca="1">IF(tbl_QCOM[[#This Row],[Avg_Upmove]]="", "", tbl_QCOM[[#This Row],[Avg_Upmove]]/tbl_QCOM[[#This Row],[Avg_Downmove]])</f>
        <v>0.64433919495365954</v>
      </c>
      <c r="S35" s="10">
        <f ca="1">IF(ROW($N35)-4&lt;BB_Periods, "", _xlfn.STDEV.S(INDIRECT(ADDRESS(ROW($F35)-RSI_Periods +1, MATCH("Adj Close", Price_Header,0))): INDIRECT(ADDRESS(ROW($F35),MATCH("Adj Close", Price_Header,0)))))</f>
        <v>3.2366330625762738</v>
      </c>
    </row>
    <row r="36" spans="1:19" x14ac:dyDescent="0.35">
      <c r="A36" s="8">
        <v>44097</v>
      </c>
      <c r="B36" s="10">
        <v>113.639999</v>
      </c>
      <c r="C36" s="10">
        <v>113.93</v>
      </c>
      <c r="D36" s="10">
        <v>110.07</v>
      </c>
      <c r="E36" s="10">
        <v>110.57</v>
      </c>
      <c r="F36" s="10">
        <v>110.57</v>
      </c>
      <c r="G36">
        <v>6553300</v>
      </c>
      <c r="H36" s="10">
        <f>IF(tbl_QCOM[[#This Row],[Date]]=$A$5, $F36, EMA_Beta*$H35 + (1-EMA_Beta)*$F36)</f>
        <v>113.45127472092025</v>
      </c>
      <c r="I36" s="46">
        <f ca="1">IF(tbl_QCOM[[#This Row],[RS]]= "", "", 100-(100/(1+tbl_QCOM[[#This Row],[RS]])))</f>
        <v>32.626064914753059</v>
      </c>
      <c r="J36" s="10">
        <f ca="1">IF(ROW($N36)-4&lt;BB_Periods, "", AVERAGE(INDIRECT(ADDRESS(ROW($F36)-RSI_Periods +1, MATCH("Adj Close", Price_Header,0))): INDIRECT(ADDRESS(ROW($F36),MATCH("Adj Close", Price_Header,0)))))</f>
        <v>113.46642792857143</v>
      </c>
      <c r="K36" s="10">
        <f ca="1">IF(tbl_QCOM[[#This Row],[BB_Mean]]="", "", tbl_QCOM[[#This Row],[BB_Mean]]+(BB_Width*tbl_QCOM[[#This Row],[BB_Stdev]]))</f>
        <v>117.81929209844088</v>
      </c>
      <c r="L36" s="10">
        <f ca="1">IF(tbl_QCOM[[#This Row],[BB_Mean]]="", "", tbl_QCOM[[#This Row],[BB_Mean]]-(BB_Width*tbl_QCOM[[#This Row],[BB_Stdev]]))</f>
        <v>109.11356375870199</v>
      </c>
      <c r="M36" s="46">
        <f>IF(ROW(tbl_QCOM[[#This Row],[Adj Close]])=5, 0, $F36-$F35)</f>
        <v>-3.25</v>
      </c>
      <c r="N36" s="46">
        <f>MAX(tbl_QCOM[[#This Row],[Move]],0)</f>
        <v>0</v>
      </c>
      <c r="O36" s="46">
        <f>MAX(-tbl_QCOM[[#This Row],[Move]],0)</f>
        <v>3.25</v>
      </c>
      <c r="P36" s="46">
        <f ca="1">IF(ROW($N36)-5&lt;RSI_Periods, "", AVERAGE(INDIRECT(ADDRESS(ROW($N36)-RSI_Periods +1, MATCH("Upmove", Price_Header,0))): INDIRECT(ADDRESS(ROW($N36),MATCH("Upmove", Price_Header,0)))))</f>
        <v>0.84571407142857014</v>
      </c>
      <c r="Q36" s="46">
        <f ca="1">IF(ROW($O36)-5&lt;RSI_Periods, "", AVERAGE(INDIRECT(ADDRESS(ROW($O36)-RSI_Periods +1, MATCH("Downmove", Price_Header,0))): INDIRECT(ADDRESS(ROW($O36),MATCH("Downmove", Price_Header,0)))))</f>
        <v>1.7464283571428569</v>
      </c>
      <c r="R36" s="46">
        <f ca="1">IF(tbl_QCOM[[#This Row],[Avg_Upmove]]="", "", tbl_QCOM[[#This Row],[Avg_Upmove]]/tbl_QCOM[[#This Row],[Avg_Downmove]])</f>
        <v>0.48425351545032841</v>
      </c>
      <c r="S36" s="10">
        <f ca="1">IF(ROW($N36)-4&lt;BB_Periods, "", _xlfn.STDEV.S(INDIRECT(ADDRESS(ROW($F36)-RSI_Periods +1, MATCH("Adj Close", Price_Header,0))): INDIRECT(ADDRESS(ROW($F36),MATCH("Adj Close", Price_Header,0)))))</f>
        <v>2.1764320849347207</v>
      </c>
    </row>
    <row r="37" spans="1:19" x14ac:dyDescent="0.35">
      <c r="A37" s="8">
        <v>44098</v>
      </c>
      <c r="B37" s="10">
        <v>109.389999</v>
      </c>
      <c r="C37" s="10">
        <v>113.290001</v>
      </c>
      <c r="D37" s="10">
        <v>109.239998</v>
      </c>
      <c r="E37" s="10">
        <v>112.19000200000001</v>
      </c>
      <c r="F37" s="10">
        <v>112.19000200000001</v>
      </c>
      <c r="G37">
        <v>6849000</v>
      </c>
      <c r="H37" s="10">
        <f>IF(tbl_QCOM[[#This Row],[Date]]=$A$5, $F37, EMA_Beta*$H36 + (1-EMA_Beta)*$F37)</f>
        <v>113.32514744882823</v>
      </c>
      <c r="I37" s="46">
        <f ca="1">IF(tbl_QCOM[[#This Row],[RS]]= "", "", 100-(100/(1+tbl_QCOM[[#This Row],[RS]])))</f>
        <v>43.196407984134531</v>
      </c>
      <c r="J37" s="10">
        <f ca="1">IF(ROW($N37)-4&lt;BB_Periods, "", AVERAGE(INDIRECT(ADDRESS(ROW($F37)-RSI_Periods +1, MATCH("Adj Close", Price_Header,0))): INDIRECT(ADDRESS(ROW($F37),MATCH("Adj Close", Price_Header,0)))))</f>
        <v>113.16357092857143</v>
      </c>
      <c r="K37" s="10">
        <f ca="1">IF(tbl_QCOM[[#This Row],[BB_Mean]]="", "", tbl_QCOM[[#This Row],[BB_Mean]]+(BB_Width*tbl_QCOM[[#This Row],[BB_Stdev]]))</f>
        <v>117.20723745665533</v>
      </c>
      <c r="L37" s="10">
        <f ca="1">IF(tbl_QCOM[[#This Row],[BB_Mean]]="", "", tbl_QCOM[[#This Row],[BB_Mean]]-(BB_Width*tbl_QCOM[[#This Row],[BB_Stdev]]))</f>
        <v>109.11990440048753</v>
      </c>
      <c r="M37" s="46">
        <f>IF(ROW(tbl_QCOM[[#This Row],[Adj Close]])=5, 0, $F37-$F36)</f>
        <v>1.6200020000000137</v>
      </c>
      <c r="N37" s="46">
        <f>MAX(tbl_QCOM[[#This Row],[Move]],0)</f>
        <v>1.6200020000000137</v>
      </c>
      <c r="O37" s="46">
        <f>MAX(-tbl_QCOM[[#This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0.96142849999999969</v>
      </c>
      <c r="Q37" s="46">
        <f ca="1">IF(ROW($O37)-5&lt;RSI_Periods, "", AVERAGE(INDIRECT(ADDRESS(ROW($O37)-RSI_Periods +1, MATCH("Downmove", Price_Header,0))): INDIRECT(ADDRESS(ROW($O37),MATCH("Downmove", Price_Header,0)))))</f>
        <v>1.2642854999999997</v>
      </c>
      <c r="R37" s="46">
        <f ca="1">IF(tbl_QCOM[[#This Row],[Avg_Upmove]]="", "", tbl_QCOM[[#This Row],[Avg_Upmove]]/tbl_QCOM[[#This Row],[Avg_Downmove]])</f>
        <v>0.76045204979413261</v>
      </c>
      <c r="S37" s="10">
        <f ca="1">IF(ROW($N37)-4&lt;BB_Periods, "", _xlfn.STDEV.S(INDIRECT(ADDRESS(ROW($F37)-RSI_Periods +1, MATCH("Adj Close", Price_Header,0))): INDIRECT(ADDRESS(ROW($F37),MATCH("Adj Close", Price_Header,0)))))</f>
        <v>2.0218332640419492</v>
      </c>
    </row>
    <row r="38" spans="1:19" x14ac:dyDescent="0.35">
      <c r="A38" s="8">
        <v>44099</v>
      </c>
      <c r="B38" s="10">
        <v>113.550003</v>
      </c>
      <c r="C38" s="10">
        <v>115.75</v>
      </c>
      <c r="D38" s="10">
        <v>111.800003</v>
      </c>
      <c r="E38" s="10">
        <v>114.5</v>
      </c>
      <c r="F38" s="10">
        <v>114.5</v>
      </c>
      <c r="G38">
        <v>11718000</v>
      </c>
      <c r="H38" s="10">
        <f>IF(tbl_QCOM[[#This Row],[Date]]=$A$5, $F38, EMA_Beta*$H37 + (1-EMA_Beta)*$F38)</f>
        <v>113.44263270394542</v>
      </c>
      <c r="I38" s="46">
        <f ca="1">IF(tbl_QCOM[[#This Row],[RS]]= "", "", 100-(100/(1+tbl_QCOM[[#This Row],[RS]])))</f>
        <v>47.773400147440192</v>
      </c>
      <c r="J38" s="10">
        <f ca="1">IF(ROW($N38)-4&lt;BB_Periods, "", AVERAGE(INDIRECT(ADDRESS(ROW($F38)-RSI_Periods +1, MATCH("Adj Close", Price_Header,0))): INDIRECT(ADDRESS(ROW($F38),MATCH("Adj Close", Price_Header,0)))))</f>
        <v>113.05857085714285</v>
      </c>
      <c r="K38" s="10">
        <f ca="1">IF(tbl_QCOM[[#This Row],[BB_Mean]]="", "", tbl_QCOM[[#This Row],[BB_Mean]]+(BB_Width*tbl_QCOM[[#This Row],[BB_Stdev]]))</f>
        <v>116.85724145155493</v>
      </c>
      <c r="L38" s="10">
        <f ca="1">IF(tbl_QCOM[[#This Row],[BB_Mean]]="", "", tbl_QCOM[[#This Row],[BB_Mean]]-(BB_Width*tbl_QCOM[[#This Row],[BB_Stdev]]))</f>
        <v>109.25990026273078</v>
      </c>
      <c r="M38" s="46">
        <f>IF(ROW(tbl_QCOM[[#This Row],[Adj Close]])=5, 0, $F38-$F37)</f>
        <v>2.3099979999999931</v>
      </c>
      <c r="N38" s="46">
        <f>MAX(tbl_QCOM[[#This Row],[Move]],0)</f>
        <v>2.3099979999999931</v>
      </c>
      <c r="O38" s="46">
        <f>MAX(-tbl_QCOM[[#This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1.1264283571428564</v>
      </c>
      <c r="Q38" s="46">
        <f ca="1">IF(ROW($O38)-5&lt;RSI_Periods, "", AVERAGE(INDIRECT(ADDRESS(ROW($O38)-RSI_Periods +1, MATCH("Downmove", Price_Header,0))): INDIRECT(ADDRESS(ROW($O38),MATCH("Downmove", Price_Header,0)))))</f>
        <v>1.2314284285714276</v>
      </c>
      <c r="R38" s="46">
        <f ca="1">IF(tbl_QCOM[[#This Row],[Avg_Upmove]]="", "", tbl_QCOM[[#This Row],[Avg_Upmove]]/tbl_QCOM[[#This Row],[Avg_Downmove]])</f>
        <v>0.91473311075790154</v>
      </c>
      <c r="S38" s="10">
        <f ca="1">IF(ROW($N38)-4&lt;BB_Periods, "", _xlfn.STDEV.S(INDIRECT(ADDRESS(ROW($F38)-RSI_Periods +1, MATCH("Adj Close", Price_Header,0))): INDIRECT(ADDRESS(ROW($F38),MATCH("Adj Close", Price_Header,0)))))</f>
        <v>1.8993352972060353</v>
      </c>
    </row>
    <row r="39" spans="1:19" x14ac:dyDescent="0.35">
      <c r="A39" s="8">
        <v>44102</v>
      </c>
      <c r="B39" s="10">
        <v>115.959999</v>
      </c>
      <c r="C39" s="10">
        <v>118.739998</v>
      </c>
      <c r="D39" s="10">
        <v>114.91999800000001</v>
      </c>
      <c r="E39" s="10">
        <v>118.470001</v>
      </c>
      <c r="F39" s="10">
        <v>118.470001</v>
      </c>
      <c r="G39">
        <v>9043600</v>
      </c>
      <c r="H39" s="10">
        <f>IF(tbl_QCOM[[#This Row],[Date]]=$A$5, $F39, EMA_Beta*$H38 + (1-EMA_Beta)*$F39)</f>
        <v>113.94536953355089</v>
      </c>
      <c r="I39" s="46">
        <f ca="1">IF(tbl_QCOM[[#This Row],[RS]]= "", "", 100-(100/(1+tbl_QCOM[[#This Row],[RS]])))</f>
        <v>64.132563777144583</v>
      </c>
      <c r="J39" s="10">
        <f ca="1">IF(ROW($N39)-4&lt;BB_Periods, "", AVERAGE(INDIRECT(ADDRESS(ROW($F39)-RSI_Periods +1, MATCH("Adj Close", Price_Header,0))): INDIRECT(ADDRESS(ROW($F39),MATCH("Adj Close", Price_Header,0)))))</f>
        <v>113.6799997142857</v>
      </c>
      <c r="K39" s="10">
        <f ca="1">IF(tbl_QCOM[[#This Row],[BB_Mean]]="", "", tbl_QCOM[[#This Row],[BB_Mean]]+(BB_Width*tbl_QCOM[[#This Row],[BB_Stdev]]))</f>
        <v>117.97524195013571</v>
      </c>
      <c r="L39" s="10">
        <f ca="1">IF(tbl_QCOM[[#This Row],[BB_Mean]]="", "", tbl_QCOM[[#This Row],[BB_Mean]]-(BB_Width*tbl_QCOM[[#This Row],[BB_Stdev]]))</f>
        <v>109.38475747843569</v>
      </c>
      <c r="M39" s="46">
        <f>IF(ROW(tbl_QCOM[[#This Row],[Adj Close]])=5, 0, $F39-$F38)</f>
        <v>3.9700009999999963</v>
      </c>
      <c r="N39" s="46">
        <f>MAX(tbl_QCOM[[#This Row],[Move]],0)</f>
        <v>3.9700009999999963</v>
      </c>
      <c r="O39" s="46">
        <f>MAX(-tbl_QCOM[[#This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1.409999857142856</v>
      </c>
      <c r="Q39" s="46">
        <f ca="1">IF(ROW($O39)-5&lt;RSI_Periods, "", AVERAGE(INDIRECT(ADDRESS(ROW($O39)-RSI_Periods +1, MATCH("Downmove", Price_Header,0))): INDIRECT(ADDRESS(ROW($O39),MATCH("Downmove", Price_Header,0)))))</f>
        <v>0.78857099999999947</v>
      </c>
      <c r="R39" s="46">
        <f ca="1">IF(tbl_QCOM[[#This Row],[Avg_Upmove]]="", "", tbl_QCOM[[#This Row],[Avg_Upmove]]/tbl_QCOM[[#This Row],[Avg_Downmove]])</f>
        <v>1.7880442688646387</v>
      </c>
      <c r="S39" s="10">
        <f ca="1">IF(ROW($N39)-4&lt;BB_Periods, "", _xlfn.STDEV.S(INDIRECT(ADDRESS(ROW($F39)-RSI_Periods +1, MATCH("Adj Close", Price_Header,0))): INDIRECT(ADDRESS(ROW($F39),MATCH("Adj Close", Price_Header,0)))))</f>
        <v>2.1476211179250031</v>
      </c>
    </row>
    <row r="40" spans="1:19" x14ac:dyDescent="0.35">
      <c r="A40" s="8">
        <v>44103</v>
      </c>
      <c r="B40" s="10">
        <v>118.139999</v>
      </c>
      <c r="C40" s="10">
        <v>119.25</v>
      </c>
      <c r="D40" s="10">
        <v>117.199997</v>
      </c>
      <c r="E40" s="10">
        <v>117.379997</v>
      </c>
      <c r="F40" s="10">
        <v>117.379997</v>
      </c>
      <c r="G40">
        <v>5655700</v>
      </c>
      <c r="H40" s="10">
        <f>IF(tbl_QCOM[[#This Row],[Date]]=$A$5, $F40, EMA_Beta*$H39 + (1-EMA_Beta)*$F40)</f>
        <v>114.28883228019581</v>
      </c>
      <c r="I40" s="46">
        <f ca="1">IF(tbl_QCOM[[#This Row],[RS]]= "", "", 100-(100/(1+tbl_QCOM[[#This Row],[RS]])))</f>
        <v>56.08254975851554</v>
      </c>
      <c r="J40" s="10">
        <f ca="1">IF(ROW($N40)-4&lt;BB_Periods, "", AVERAGE(INDIRECT(ADDRESS(ROW($F40)-RSI_Periods +1, MATCH("Adj Close", Price_Header,0))): INDIRECT(ADDRESS(ROW($F40),MATCH("Adj Close", Price_Header,0)))))</f>
        <v>113.91999971428571</v>
      </c>
      <c r="K40" s="10">
        <f ca="1">IF(tbl_QCOM[[#This Row],[BB_Mean]]="", "", tbl_QCOM[[#This Row],[BB_Mean]]+(BB_Width*tbl_QCOM[[#This Row],[BB_Stdev]]))</f>
        <v>118.65050873942639</v>
      </c>
      <c r="L40" s="10">
        <f ca="1">IF(tbl_QCOM[[#This Row],[BB_Mean]]="", "", tbl_QCOM[[#This Row],[BB_Mean]]-(BB_Width*tbl_QCOM[[#This Row],[BB_Stdev]]))</f>
        <v>109.18949068914503</v>
      </c>
      <c r="M40" s="46">
        <f>IF(ROW(tbl_QCOM[[#This Row],[Adj Close]])=5, 0, $F40-$F39)</f>
        <v>-1.0900039999999933</v>
      </c>
      <c r="N40" s="46">
        <f>MAX(tbl_QCOM[[#This Row],[Move]],0)</f>
        <v>0</v>
      </c>
      <c r="O40" s="46">
        <f>MAX(-tbl_QCOM[[#This Row],[Move]],0)</f>
        <v>1.0900039999999933</v>
      </c>
      <c r="P40" s="46">
        <f ca="1">IF(ROW($N40)-5&lt;RSI_Periods, "", AVERAGE(INDIRECT(ADDRESS(ROW($N40)-RSI_Periods +1, MATCH("Upmove", Price_Header,0))): INDIRECT(ADDRESS(ROW($N40),MATCH("Upmove", Price_Header,0)))))</f>
        <v>1.1064284285714276</v>
      </c>
      <c r="Q40" s="46">
        <f ca="1">IF(ROW($O40)-5&lt;RSI_Periods, "", AVERAGE(INDIRECT(ADDRESS(ROW($O40)-RSI_Periods +1, MATCH("Downmove", Price_Header,0))): INDIRECT(ADDRESS(ROW($O40),MATCH("Downmove", Price_Header,0)))))</f>
        <v>0.86642842857142754</v>
      </c>
      <c r="R40" s="46">
        <f ca="1">IF(tbl_QCOM[[#This Row],[Avg_Upmove]]="", "", tbl_QCOM[[#This Row],[Avg_Upmove]]/tbl_QCOM[[#This Row],[Avg_Downmove]])</f>
        <v>1.2769992212694516</v>
      </c>
      <c r="S40" s="10">
        <f ca="1">IF(ROW($N40)-4&lt;BB_Periods, "", _xlfn.STDEV.S(INDIRECT(ADDRESS(ROW($F40)-RSI_Periods +1, MATCH("Adj Close", Price_Header,0))): INDIRECT(ADDRESS(ROW($F40),MATCH("Adj Close", Price_Header,0)))))</f>
        <v>2.3652545125703415</v>
      </c>
    </row>
    <row r="41" spans="1:19" x14ac:dyDescent="0.35">
      <c r="A41" s="8">
        <v>44104</v>
      </c>
      <c r="B41" s="10">
        <v>117.5</v>
      </c>
      <c r="C41" s="10">
        <v>119.260002</v>
      </c>
      <c r="D41" s="10">
        <v>116.91999800000001</v>
      </c>
      <c r="E41" s="10">
        <v>117.68</v>
      </c>
      <c r="F41" s="10">
        <v>117.68</v>
      </c>
      <c r="G41">
        <v>5828000</v>
      </c>
      <c r="H41" s="10">
        <f>IF(tbl_QCOM[[#This Row],[Date]]=$A$5, $F41, EMA_Beta*$H40 + (1-EMA_Beta)*$F41)</f>
        <v>114.62794905217623</v>
      </c>
      <c r="I41" s="46">
        <f ca="1">IF(tbl_QCOM[[#This Row],[RS]]= "", "", 100-(100/(1+tbl_QCOM[[#This Row],[RS]])))</f>
        <v>59.946843591975167</v>
      </c>
      <c r="J41" s="10">
        <f ca="1">IF(ROW($N41)-4&lt;BB_Periods, "", AVERAGE(INDIRECT(ADDRESS(ROW($F41)-RSI_Periods +1, MATCH("Adj Close", Price_Header,0))): INDIRECT(ADDRESS(ROW($F41),MATCH("Adj Close", Price_Header,0)))))</f>
        <v>114.29428528571428</v>
      </c>
      <c r="K41" s="10">
        <f ca="1">IF(tbl_QCOM[[#This Row],[BB_Mean]]="", "", tbl_QCOM[[#This Row],[BB_Mean]]+(BB_Width*tbl_QCOM[[#This Row],[BB_Stdev]]))</f>
        <v>119.33911597094546</v>
      </c>
      <c r="L41" s="10">
        <f ca="1">IF(tbl_QCOM[[#This Row],[BB_Mean]]="", "", tbl_QCOM[[#This Row],[BB_Mean]]-(BB_Width*tbl_QCOM[[#This Row],[BB_Stdev]]))</f>
        <v>109.24945460048311</v>
      </c>
      <c r="M41" s="46">
        <f>IF(ROW(tbl_QCOM[[#This Row],[Adj Close]])=5, 0, $F41-$F40)</f>
        <v>0.30000300000000379</v>
      </c>
      <c r="N41" s="46">
        <f>MAX(tbl_QCOM[[#This Row],[Move]],0)</f>
        <v>0.30000300000000379</v>
      </c>
      <c r="O41" s="46">
        <f>MAX(-tbl_QCOM[[#This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1.1278572142857135</v>
      </c>
      <c r="Q41" s="46">
        <f ca="1">IF(ROW($O41)-5&lt;RSI_Periods, "", AVERAGE(INDIRECT(ADDRESS(ROW($O41)-RSI_Periods +1, MATCH("Downmove", Price_Header,0))): INDIRECT(ADDRESS(ROW($O41),MATCH("Downmove", Price_Header,0)))))</f>
        <v>0.75357164285714207</v>
      </c>
      <c r="R41" s="46">
        <f ca="1">IF(tbl_QCOM[[#This Row],[Avg_Upmove]]="", "", tbl_QCOM[[#This Row],[Avg_Upmove]]/tbl_QCOM[[#This Row],[Avg_Downmove]])</f>
        <v>1.4966821336448914</v>
      </c>
      <c r="S41" s="10">
        <f ca="1">IF(ROW($N41)-4&lt;BB_Periods, "", _xlfn.STDEV.S(INDIRECT(ADDRESS(ROW($F41)-RSI_Periods +1, MATCH("Adj Close", Price_Header,0))): INDIRECT(ADDRESS(ROW($F41),MATCH("Adj Close", Price_Header,0)))))</f>
        <v>2.5224153426155898</v>
      </c>
    </row>
    <row r="42" spans="1:19" x14ac:dyDescent="0.35">
      <c r="A42" s="8">
        <v>44105</v>
      </c>
      <c r="B42" s="10">
        <v>119.93</v>
      </c>
      <c r="C42" s="10">
        <v>120.209999</v>
      </c>
      <c r="D42" s="10">
        <v>117.699997</v>
      </c>
      <c r="E42" s="10">
        <v>119.519997</v>
      </c>
      <c r="F42" s="10">
        <v>119.519997</v>
      </c>
      <c r="G42">
        <v>5316800</v>
      </c>
      <c r="H42" s="10">
        <f>IF(tbl_QCOM[[#This Row],[Date]]=$A$5, $F42, EMA_Beta*$H41 + (1-EMA_Beta)*$F42)</f>
        <v>115.11715384695862</v>
      </c>
      <c r="I42" s="46">
        <f ca="1">IF(tbl_QCOM[[#This Row],[RS]]= "", "", 100-(100/(1+tbl_QCOM[[#This Row],[RS]])))</f>
        <v>61.213231394626582</v>
      </c>
      <c r="J42" s="10">
        <f ca="1">IF(ROW($N42)-4&lt;BB_Periods, "", AVERAGE(INDIRECT(ADDRESS(ROW($F42)-RSI_Periods +1, MATCH("Adj Close", Price_Header,0))): INDIRECT(ADDRESS(ROW($F42),MATCH("Adj Close", Price_Header,0)))))</f>
        <v>114.72999949999999</v>
      </c>
      <c r="K42" s="10">
        <f ca="1">IF(tbl_QCOM[[#This Row],[BB_Mean]]="", "", tbl_QCOM[[#This Row],[BB_Mean]]+(BB_Width*tbl_QCOM[[#This Row],[BB_Stdev]]))</f>
        <v>120.45711066546137</v>
      </c>
      <c r="L42" s="10">
        <f ca="1">IF(tbl_QCOM[[#This Row],[BB_Mean]]="", "", tbl_QCOM[[#This Row],[BB_Mean]]-(BB_Width*tbl_QCOM[[#This Row],[BB_Stdev]]))</f>
        <v>109.00288833453861</v>
      </c>
      <c r="M42" s="46">
        <f>IF(ROW(tbl_QCOM[[#This Row],[Adj Close]])=5, 0, $F42-$F41)</f>
        <v>1.8399969999999968</v>
      </c>
      <c r="N42" s="46">
        <f>MAX(tbl_QCOM[[#This Row],[Move]],0)</f>
        <v>1.8399969999999968</v>
      </c>
      <c r="O42" s="46">
        <f>MAX(-tbl_QCOM[[#This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1.1892858571428562</v>
      </c>
      <c r="Q42" s="46">
        <f ca="1">IF(ROW($O42)-5&lt;RSI_Periods, "", AVERAGE(INDIRECT(ADDRESS(ROW($O42)-RSI_Periods +1, MATCH("Downmove", Price_Header,0))): INDIRECT(ADDRESS(ROW($O42),MATCH("Downmove", Price_Header,0)))))</f>
        <v>0.75357164285714207</v>
      </c>
      <c r="R42" s="46">
        <f ca="1">IF(tbl_QCOM[[#This Row],[Avg_Upmove]]="", "", tbl_QCOM[[#This Row],[Avg_Upmove]]/tbl_QCOM[[#This Row],[Avg_Downmove]])</f>
        <v>1.5781987929292536</v>
      </c>
      <c r="S42" s="10">
        <f ca="1">IF(ROW($N42)-4&lt;BB_Periods, "", _xlfn.STDEV.S(INDIRECT(ADDRESS(ROW($F42)-RSI_Periods +1, MATCH("Adj Close", Price_Header,0))): INDIRECT(ADDRESS(ROW($F42),MATCH("Adj Close", Price_Header,0)))))</f>
        <v>2.863555582730692</v>
      </c>
    </row>
    <row r="43" spans="1:19" x14ac:dyDescent="0.35">
      <c r="A43" s="8">
        <v>44106</v>
      </c>
      <c r="B43" s="10">
        <v>116.779999</v>
      </c>
      <c r="C43" s="10">
        <v>118.660004</v>
      </c>
      <c r="D43" s="10">
        <v>115.43</v>
      </c>
      <c r="E43" s="10">
        <v>115.470001</v>
      </c>
      <c r="F43" s="10">
        <v>115.470001</v>
      </c>
      <c r="G43">
        <v>5834300</v>
      </c>
      <c r="H43" s="10">
        <f>IF(tbl_QCOM[[#This Row],[Date]]=$A$5, $F43, EMA_Beta*$H42 + (1-EMA_Beta)*$F43)</f>
        <v>115.15243856226274</v>
      </c>
      <c r="I43" s="46">
        <f ca="1">IF(tbl_QCOM[[#This Row],[RS]]= "", "", 100-(100/(1+tbl_QCOM[[#This Row],[RS]])))</f>
        <v>53.220124959948734</v>
      </c>
      <c r="J43" s="10">
        <f ca="1">IF(ROW($N43)-4&lt;BB_Periods, "", AVERAGE(INDIRECT(ADDRESS(ROW($F43)-RSI_Periods +1, MATCH("Adj Close", Price_Header,0))): INDIRECT(ADDRESS(ROW($F43),MATCH("Adj Close", Price_Header,0)))))</f>
        <v>114.87357107142857</v>
      </c>
      <c r="K43" s="10">
        <f ca="1">IF(tbl_QCOM[[#This Row],[BB_Mean]]="", "", tbl_QCOM[[#This Row],[BB_Mean]]+(BB_Width*tbl_QCOM[[#This Row],[BB_Stdev]]))</f>
        <v>120.56419708226247</v>
      </c>
      <c r="L43" s="10">
        <f ca="1">IF(tbl_QCOM[[#This Row],[BB_Mean]]="", "", tbl_QCOM[[#This Row],[BB_Mean]]-(BB_Width*tbl_QCOM[[#This Row],[BB_Stdev]]))</f>
        <v>109.18294506059468</v>
      </c>
      <c r="M43" s="46">
        <f>IF(ROW(tbl_QCOM[[#This Row],[Adj Close]])=5, 0, $F43-$F42)</f>
        <v>-4.0499960000000073</v>
      </c>
      <c r="N43" s="46">
        <f>MAX(tbl_QCOM[[#This Row],[Move]],0)</f>
        <v>0</v>
      </c>
      <c r="O43" s="46">
        <f>MAX(-tbl_QCOM[[#This Row],[Move]],0)</f>
        <v>4.0499960000000073</v>
      </c>
      <c r="P43" s="46">
        <f ca="1">IF(ROW($N43)-5&lt;RSI_Periods, "", AVERAGE(INDIRECT(ADDRESS(ROW($N43)-RSI_Periods +1, MATCH("Upmove", Price_Header,0))): INDIRECT(ADDRESS(ROW($N43),MATCH("Upmove", Price_Header,0)))))</f>
        <v>1.1864286428571427</v>
      </c>
      <c r="Q43" s="46">
        <f ca="1">IF(ROW($O43)-5&lt;RSI_Periods, "", AVERAGE(INDIRECT(ADDRESS(ROW($O43)-RSI_Periods +1, MATCH("Downmove", Price_Header,0))): INDIRECT(ADDRESS(ROW($O43),MATCH("Downmove", Price_Header,0)))))</f>
        <v>1.0428570714285712</v>
      </c>
      <c r="R43" s="46">
        <f ca="1">IF(tbl_QCOM[[#This Row],[Avg_Upmove]]="", "", tbl_QCOM[[#This Row],[Avg_Upmove]]/tbl_QCOM[[#This Row],[Avg_Downmove]])</f>
        <v>1.1376713792925603</v>
      </c>
      <c r="S43" s="10">
        <f ca="1">IF(ROW($N43)-4&lt;BB_Periods, "", _xlfn.STDEV.S(INDIRECT(ADDRESS(ROW($F43)-RSI_Periods +1, MATCH("Adj Close", Price_Header,0))): INDIRECT(ADDRESS(ROW($F43),MATCH("Adj Close", Price_Header,0)))))</f>
        <v>2.8453130054169509</v>
      </c>
    </row>
    <row r="44" spans="1:19" x14ac:dyDescent="0.35">
      <c r="A44" s="8">
        <v>44109</v>
      </c>
      <c r="B44" s="10">
        <v>116.900002</v>
      </c>
      <c r="C44" s="10">
        <v>120.650002</v>
      </c>
      <c r="D44" s="10">
        <v>116.730003</v>
      </c>
      <c r="E44" s="10">
        <v>120.519997</v>
      </c>
      <c r="F44" s="10">
        <v>120.519997</v>
      </c>
      <c r="G44">
        <v>5835900</v>
      </c>
      <c r="H44" s="10">
        <f>IF(tbl_QCOM[[#This Row],[Date]]=$A$5, $F44, EMA_Beta*$H43 + (1-EMA_Beta)*$F44)</f>
        <v>115.68919440603646</v>
      </c>
      <c r="I44" s="46">
        <f ca="1">IF(tbl_QCOM[[#This Row],[RS]]= "", "", 100-(100/(1+tbl_QCOM[[#This Row],[RS]])))</f>
        <v>55.944471684106887</v>
      </c>
      <c r="J44" s="10">
        <f ca="1">IF(ROW($N44)-4&lt;BB_Periods, "", AVERAGE(INDIRECT(ADDRESS(ROW($F44)-RSI_Periods +1, MATCH("Adj Close", Price_Header,0))): INDIRECT(ADDRESS(ROW($F44),MATCH("Adj Close", Price_Header,0)))))</f>
        <v>115.15499928571431</v>
      </c>
      <c r="K44" s="10">
        <f ca="1">IF(tbl_QCOM[[#This Row],[BB_Mean]]="", "", tbl_QCOM[[#This Row],[BB_Mean]]+(BB_Width*tbl_QCOM[[#This Row],[BB_Stdev]]))</f>
        <v>121.55468371976252</v>
      </c>
      <c r="L44" s="10">
        <f ca="1">IF(tbl_QCOM[[#This Row],[BB_Mean]]="", "", tbl_QCOM[[#This Row],[BB_Mean]]-(BB_Width*tbl_QCOM[[#This Row],[BB_Stdev]]))</f>
        <v>108.7553148516661</v>
      </c>
      <c r="M44" s="46">
        <f>IF(ROW(tbl_QCOM[[#This Row],[Adj Close]])=5, 0, $F44-$F43)</f>
        <v>5.0499960000000073</v>
      </c>
      <c r="N44" s="46">
        <f>MAX(tbl_QCOM[[#This Row],[Move]],0)</f>
        <v>5.0499960000000073</v>
      </c>
      <c r="O44" s="46">
        <f>MAX(-tbl_QCOM[[#This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1.3242852857142862</v>
      </c>
      <c r="Q44" s="46">
        <f ca="1">IF(ROW($O44)-5&lt;RSI_Periods, "", AVERAGE(INDIRECT(ADDRESS(ROW($O44)-RSI_Periods +1, MATCH("Downmove", Price_Header,0))): INDIRECT(ADDRESS(ROW($O44),MATCH("Downmove", Price_Header,0)))))</f>
        <v>1.0428570714285712</v>
      </c>
      <c r="R44" s="46">
        <f ca="1">IF(tbl_QCOM[[#This Row],[Avg_Upmove]]="", "", tbl_QCOM[[#This Row],[Avg_Upmove]]/tbl_QCOM[[#This Row],[Avg_Downmove]])</f>
        <v>1.2698626897166232</v>
      </c>
      <c r="S44" s="10">
        <f ca="1">IF(ROW($N44)-4&lt;BB_Periods, "", _xlfn.STDEV.S(INDIRECT(ADDRESS(ROW($F44)-RSI_Periods +1, MATCH("Adj Close", Price_Header,0))): INDIRECT(ADDRESS(ROW($F44),MATCH("Adj Close", Price_Header,0)))))</f>
        <v>3.1998422170241079</v>
      </c>
    </row>
    <row r="45" spans="1:19" x14ac:dyDescent="0.35">
      <c r="A45" s="8">
        <v>44110</v>
      </c>
      <c r="B45" s="10">
        <v>120.449997</v>
      </c>
      <c r="C45" s="10">
        <v>122.519997</v>
      </c>
      <c r="D45" s="10">
        <v>119.099998</v>
      </c>
      <c r="E45" s="10">
        <v>119.540001</v>
      </c>
      <c r="F45" s="10">
        <v>119.540001</v>
      </c>
      <c r="G45">
        <v>7637000</v>
      </c>
      <c r="H45" s="10">
        <f>IF(tbl_QCOM[[#This Row],[Date]]=$A$5, $F45, EMA_Beta*$H44 + (1-EMA_Beta)*$F45)</f>
        <v>116.07427506543281</v>
      </c>
      <c r="I45" s="46">
        <f ca="1">IF(tbl_QCOM[[#This Row],[RS]]= "", "", 100-(100/(1+tbl_QCOM[[#This Row],[RS]])))</f>
        <v>57.757017643466199</v>
      </c>
      <c r="J45" s="10">
        <f ca="1">IF(ROW($N45)-4&lt;BB_Periods, "", AVERAGE(INDIRECT(ADDRESS(ROW($F45)-RSI_Periods +1, MATCH("Adj Close", Price_Header,0))): INDIRECT(ADDRESS(ROW($F45),MATCH("Adj Close", Price_Header,0)))))</f>
        <v>115.5107137857143</v>
      </c>
      <c r="K45" s="10">
        <f ca="1">IF(tbl_QCOM[[#This Row],[BB_Mean]]="", "", tbl_QCOM[[#This Row],[BB_Mean]]+(BB_Width*tbl_QCOM[[#This Row],[BB_Stdev]]))</f>
        <v>122.30912145011949</v>
      </c>
      <c r="L45" s="10">
        <f ca="1">IF(tbl_QCOM[[#This Row],[BB_Mean]]="", "", tbl_QCOM[[#This Row],[BB_Mean]]-(BB_Width*tbl_QCOM[[#This Row],[BB_Stdev]]))</f>
        <v>108.71230612130911</v>
      </c>
      <c r="M45" s="46">
        <f>IF(ROW(tbl_QCOM[[#This Row],[Adj Close]])=5, 0, $F45-$F44)</f>
        <v>-0.97999599999999987</v>
      </c>
      <c r="N45" s="46">
        <f>MAX(tbl_QCOM[[#This Row],[Move]],0)</f>
        <v>0</v>
      </c>
      <c r="O45" s="46">
        <f>MAX(-tbl_QCOM[[#This Row],[Move]],0)</f>
        <v>0.97999599999999987</v>
      </c>
      <c r="P45" s="46">
        <f ca="1">IF(ROW($N45)-5&lt;RSI_Periods, "", AVERAGE(INDIRECT(ADDRESS(ROW($N45)-RSI_Periods +1, MATCH("Upmove", Price_Header,0))): INDIRECT(ADDRESS(ROW($N45),MATCH("Upmove", Price_Header,0)))))</f>
        <v>1.3242852857142862</v>
      </c>
      <c r="Q45" s="46">
        <f ca="1">IF(ROW($O45)-5&lt;RSI_Periods, "", AVERAGE(INDIRECT(ADDRESS(ROW($O45)-RSI_Periods +1, MATCH("Downmove", Price_Header,0))): INDIRECT(ADDRESS(ROW($O45),MATCH("Downmove", Price_Header,0)))))</f>
        <v>0.96857078571428545</v>
      </c>
      <c r="R45" s="46">
        <f ca="1">IF(tbl_QCOM[[#This Row],[Avg_Upmove]]="", "", tbl_QCOM[[#This Row],[Avg_Upmove]]/tbl_QCOM[[#This Row],[Avg_Downmove]])</f>
        <v>1.3672571021617943</v>
      </c>
      <c r="S45" s="10">
        <f ca="1">IF(ROW($N45)-4&lt;BB_Periods, "", _xlfn.STDEV.S(INDIRECT(ADDRESS(ROW($F45)-RSI_Periods +1, MATCH("Adj Close", Price_Header,0))): INDIRECT(ADDRESS(ROW($F45),MATCH("Adj Close", Price_Header,0)))))</f>
        <v>3.3992038322025944</v>
      </c>
    </row>
    <row r="46" spans="1:19" x14ac:dyDescent="0.35">
      <c r="A46" s="8">
        <v>44111</v>
      </c>
      <c r="B46" s="10">
        <v>121.239998</v>
      </c>
      <c r="C46" s="10">
        <v>123.360001</v>
      </c>
      <c r="D46" s="10">
        <v>120.650002</v>
      </c>
      <c r="E46" s="10">
        <v>123.029999</v>
      </c>
      <c r="F46" s="10">
        <v>123.029999</v>
      </c>
      <c r="G46">
        <v>7410300</v>
      </c>
      <c r="H46" s="10">
        <f>IF(tbl_QCOM[[#This Row],[Date]]=$A$5, $F46, EMA_Beta*$H45 + (1-EMA_Beta)*$F46)</f>
        <v>116.76984745888954</v>
      </c>
      <c r="I46" s="46">
        <f ca="1">IF(tbl_QCOM[[#This Row],[RS]]= "", "", 100-(100/(1+tbl_QCOM[[#This Row],[RS]])))</f>
        <v>61.553736457606568</v>
      </c>
      <c r="J46" s="10">
        <f ca="1">IF(ROW($N46)-4&lt;BB_Periods, "", AVERAGE(INDIRECT(ADDRESS(ROW($F46)-RSI_Periods +1, MATCH("Adj Close", Price_Header,0))): INDIRECT(ADDRESS(ROW($F46),MATCH("Adj Close", Price_Header,0)))))</f>
        <v>116.0928567857143</v>
      </c>
      <c r="K46" s="10">
        <f ca="1">IF(tbl_QCOM[[#This Row],[BB_Mean]]="", "", tbl_QCOM[[#This Row],[BB_Mean]]+(BB_Width*tbl_QCOM[[#This Row],[BB_Stdev]]))</f>
        <v>123.96895513379148</v>
      </c>
      <c r="L46" s="10">
        <f ca="1">IF(tbl_QCOM[[#This Row],[BB_Mean]]="", "", tbl_QCOM[[#This Row],[BB_Mean]]-(BB_Width*tbl_QCOM[[#This Row],[BB_Stdev]]))</f>
        <v>108.21675843763713</v>
      </c>
      <c r="M46" s="46">
        <f>IF(ROW(tbl_QCOM[[#This Row],[Adj Close]])=5, 0, $F46-$F45)</f>
        <v>3.4899979999999999</v>
      </c>
      <c r="N46" s="46">
        <f>MAX(tbl_QCOM[[#This Row],[Move]],0)</f>
        <v>3.4899979999999999</v>
      </c>
      <c r="O46" s="46">
        <f>MAX(-tbl_QCOM[[#This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1.5507137857142854</v>
      </c>
      <c r="Q46" s="46">
        <f ca="1">IF(ROW($O46)-5&lt;RSI_Periods, "", AVERAGE(INDIRECT(ADDRESS(ROW($O46)-RSI_Periods +1, MATCH("Downmove", Price_Header,0))): INDIRECT(ADDRESS(ROW($O46),MATCH("Downmove", Price_Header,0)))))</f>
        <v>0.96857078571428545</v>
      </c>
      <c r="R46" s="46">
        <f ca="1">IF(tbl_QCOM[[#This Row],[Avg_Upmove]]="", "", tbl_QCOM[[#This Row],[Avg_Upmove]]/tbl_QCOM[[#This Row],[Avg_Downmove]])</f>
        <v>1.6010329947859112</v>
      </c>
      <c r="S46" s="10">
        <f ca="1">IF(ROW($N46)-4&lt;BB_Periods, "", _xlfn.STDEV.S(INDIRECT(ADDRESS(ROW($F46)-RSI_Periods +1, MATCH("Adj Close", Price_Header,0))): INDIRECT(ADDRESS(ROW($F46),MATCH("Adj Close", Price_Header,0)))))</f>
        <v>3.9380491740385919</v>
      </c>
    </row>
    <row r="47" spans="1:19" x14ac:dyDescent="0.35">
      <c r="A47" s="8">
        <v>44112</v>
      </c>
      <c r="B47" s="10">
        <v>124</v>
      </c>
      <c r="C47" s="10">
        <v>124.43</v>
      </c>
      <c r="D47" s="10">
        <v>121.839996</v>
      </c>
      <c r="E47" s="10">
        <v>122.339996</v>
      </c>
      <c r="F47" s="10">
        <v>122.339996</v>
      </c>
      <c r="G47">
        <v>4757500</v>
      </c>
      <c r="H47" s="10">
        <f>IF(tbl_QCOM[[#This Row],[Date]]=$A$5, $F47, EMA_Beta*$H46 + (1-EMA_Beta)*$F47)</f>
        <v>117.32686231300059</v>
      </c>
      <c r="I47" s="46">
        <f ca="1">IF(tbl_QCOM[[#This Row],[RS]]= "", "", 100-(100/(1+tbl_QCOM[[#This Row],[RS]])))</f>
        <v>68.334902319144419</v>
      </c>
      <c r="J47" s="10">
        <f ca="1">IF(ROW($N47)-4&lt;BB_Periods, "", AVERAGE(INDIRECT(ADDRESS(ROW($F47)-RSI_Periods +1, MATCH("Adj Close", Price_Header,0))): INDIRECT(ADDRESS(ROW($F47),MATCH("Adj Close", Price_Header,0)))))</f>
        <v>116.92499921428573</v>
      </c>
      <c r="K47" s="10">
        <f ca="1">IF(tbl_QCOM[[#This Row],[BB_Mean]]="", "", tbl_QCOM[[#This Row],[BB_Mean]]+(BB_Width*tbl_QCOM[[#This Row],[BB_Stdev]]))</f>
        <v>124.80386014504013</v>
      </c>
      <c r="L47" s="10">
        <f ca="1">IF(tbl_QCOM[[#This Row],[BB_Mean]]="", "", tbl_QCOM[[#This Row],[BB_Mean]]-(BB_Width*tbl_QCOM[[#This Row],[BB_Stdev]]))</f>
        <v>109.04613828353133</v>
      </c>
      <c r="M47" s="46">
        <f>IF(ROW(tbl_QCOM[[#This Row],[Adj Close]])=5, 0, $F47-$F46)</f>
        <v>-0.69000300000000436</v>
      </c>
      <c r="N47" s="46">
        <f>MAX(tbl_QCOM[[#This Row],[Move]],0)</f>
        <v>0</v>
      </c>
      <c r="O47" s="46">
        <f>MAX(-tbl_QCOM[[#This Row],[Move]],0)</f>
        <v>0.69000300000000436</v>
      </c>
      <c r="P47" s="46">
        <f ca="1">IF(ROW($N47)-5&lt;RSI_Periods, "", AVERAGE(INDIRECT(ADDRESS(ROW($N47)-RSI_Periods +1, MATCH("Upmove", Price_Header,0))): INDIRECT(ADDRESS(ROW($N47),MATCH("Upmove", Price_Header,0)))))</f>
        <v>1.5507137857142854</v>
      </c>
      <c r="Q47" s="46">
        <f ca="1">IF(ROW($O47)-5&lt;RSI_Periods, "", AVERAGE(INDIRECT(ADDRESS(ROW($O47)-RSI_Periods +1, MATCH("Downmove", Price_Header,0))): INDIRECT(ADDRESS(ROW($O47),MATCH("Downmove", Price_Header,0)))))</f>
        <v>0.71857135714285747</v>
      </c>
      <c r="R47" s="46">
        <f ca="1">IF(tbl_QCOM[[#This Row],[Avg_Upmove]]="", "", tbl_QCOM[[#This Row],[Avg_Upmove]]/tbl_QCOM[[#This Row],[Avg_Downmove]])</f>
        <v>2.1580512085537968</v>
      </c>
      <c r="S47" s="10">
        <f ca="1">IF(ROW($N47)-4&lt;BB_Periods, "", _xlfn.STDEV.S(INDIRECT(ADDRESS(ROW($F47)-RSI_Periods +1, MATCH("Adj Close", Price_Header,0))): INDIRECT(ADDRESS(ROW($F47),MATCH("Adj Close", Price_Header,0)))))</f>
        <v>3.9394304653772014</v>
      </c>
    </row>
    <row r="48" spans="1:19" x14ac:dyDescent="0.35">
      <c r="A48" s="8">
        <v>44113</v>
      </c>
      <c r="B48" s="10">
        <v>123.93</v>
      </c>
      <c r="C48" s="10">
        <v>125.889999</v>
      </c>
      <c r="D48" s="10">
        <v>122.790001</v>
      </c>
      <c r="E48" s="10">
        <v>124.870003</v>
      </c>
      <c r="F48" s="10">
        <v>124.870003</v>
      </c>
      <c r="G48">
        <v>11073400</v>
      </c>
      <c r="H48" s="10">
        <f>IF(tbl_QCOM[[#This Row],[Date]]=$A$5, $F48, EMA_Beta*$H47 + (1-EMA_Beta)*$F48)</f>
        <v>118.08117638170053</v>
      </c>
      <c r="I48" s="46">
        <f ca="1">IF(tbl_QCOM[[#This Row],[RS]]= "", "", 100-(100/(1+tbl_QCOM[[#This Row],[RS]])))</f>
        <v>69.579685251313691</v>
      </c>
      <c r="J48" s="10">
        <f ca="1">IF(ROW($N48)-4&lt;BB_Periods, "", AVERAGE(INDIRECT(ADDRESS(ROW($F48)-RSI_Periods +1, MATCH("Adj Close", Price_Header,0))): INDIRECT(ADDRESS(ROW($F48),MATCH("Adj Close", Price_Header,0)))))</f>
        <v>117.84999957142858</v>
      </c>
      <c r="K48" s="10">
        <f ca="1">IF(tbl_QCOM[[#This Row],[BB_Mean]]="", "", tbl_QCOM[[#This Row],[BB_Mean]]+(BB_Width*tbl_QCOM[[#This Row],[BB_Stdev]]))</f>
        <v>126.22289999417627</v>
      </c>
      <c r="L48" s="10">
        <f ca="1">IF(tbl_QCOM[[#This Row],[BB_Mean]]="", "", tbl_QCOM[[#This Row],[BB_Mean]]-(BB_Width*tbl_QCOM[[#This Row],[BB_Stdev]]))</f>
        <v>109.47709914868089</v>
      </c>
      <c r="M48" s="46">
        <f>IF(ROW(tbl_QCOM[[#This Row],[Adj Close]])=5, 0, $F48-$F47)</f>
        <v>2.5300069999999977</v>
      </c>
      <c r="N48" s="46">
        <f>MAX(tbl_QCOM[[#This Row],[Move]],0)</f>
        <v>2.5300069999999977</v>
      </c>
      <c r="O48" s="46">
        <f>MAX(-tbl_QCOM[[#This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1.643571714285714</v>
      </c>
      <c r="Q48" s="46">
        <f ca="1">IF(ROW($O48)-5&lt;RSI_Periods, "", AVERAGE(INDIRECT(ADDRESS(ROW($O48)-RSI_Periods +1, MATCH("Downmove", Price_Header,0))): INDIRECT(ADDRESS(ROW($O48),MATCH("Downmove", Price_Header,0)))))</f>
        <v>0.71857135714285747</v>
      </c>
      <c r="R48" s="46">
        <f ca="1">IF(tbl_QCOM[[#This Row],[Avg_Upmove]]="", "", tbl_QCOM[[#This Row],[Avg_Upmove]]/tbl_QCOM[[#This Row],[Avg_Downmove]])</f>
        <v>2.2872769669261386</v>
      </c>
      <c r="S48" s="10">
        <f ca="1">IF(ROW($N48)-4&lt;BB_Periods, "", _xlfn.STDEV.S(INDIRECT(ADDRESS(ROW($F48)-RSI_Periods +1, MATCH("Adj Close", Price_Header,0))): INDIRECT(ADDRESS(ROW($F48),MATCH("Adj Close", Price_Header,0)))))</f>
        <v>4.1864502113738453</v>
      </c>
    </row>
    <row r="49" spans="1:19" x14ac:dyDescent="0.35">
      <c r="A49" s="8">
        <v>44116</v>
      </c>
      <c r="B49" s="10">
        <v>127.699997</v>
      </c>
      <c r="C49" s="10">
        <v>127.699997</v>
      </c>
      <c r="D49" s="10">
        <v>124.949997</v>
      </c>
      <c r="E49" s="10">
        <v>126.69000200000001</v>
      </c>
      <c r="F49" s="10">
        <v>126.69000200000001</v>
      </c>
      <c r="G49">
        <v>7893800</v>
      </c>
      <c r="H49" s="10">
        <f>IF(tbl_QCOM[[#This Row],[Date]]=$A$5, $F49, EMA_Beta*$H48 + (1-EMA_Beta)*$F49)</f>
        <v>118.94205894353048</v>
      </c>
      <c r="I49" s="46">
        <f ca="1">IF(tbl_QCOM[[#This Row],[RS]]= "", "", 100-(100/(1+tbl_QCOM[[#This Row],[RS]])))</f>
        <v>69.505913913307069</v>
      </c>
      <c r="J49" s="10">
        <f ca="1">IF(ROW($N49)-4&lt;BB_Periods, "", AVERAGE(INDIRECT(ADDRESS(ROW($F49)-RSI_Periods +1, MATCH("Adj Close", Price_Header,0))): INDIRECT(ADDRESS(ROW($F49),MATCH("Adj Close", Price_Header,0)))))</f>
        <v>118.76928542857145</v>
      </c>
      <c r="K49" s="10">
        <f ca="1">IF(tbl_QCOM[[#This Row],[BB_Mean]]="", "", tbl_QCOM[[#This Row],[BB_Mean]]+(BB_Width*tbl_QCOM[[#This Row],[BB_Stdev]]))</f>
        <v>128.01659331808912</v>
      </c>
      <c r="L49" s="10">
        <f ca="1">IF(tbl_QCOM[[#This Row],[BB_Mean]]="", "", tbl_QCOM[[#This Row],[BB_Mean]]-(BB_Width*tbl_QCOM[[#This Row],[BB_Stdev]]))</f>
        <v>109.52197753905378</v>
      </c>
      <c r="M49" s="46">
        <f>IF(ROW(tbl_QCOM[[#This Row],[Adj Close]])=5, 0, $F49-$F48)</f>
        <v>1.8199990000000099</v>
      </c>
      <c r="N49" s="46">
        <f>MAX(tbl_QCOM[[#This Row],[Move]],0)</f>
        <v>1.8199990000000099</v>
      </c>
      <c r="O49" s="46">
        <f>MAX(-tbl_QCOM[[#This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1.6378572142857155</v>
      </c>
      <c r="Q49" s="46">
        <f ca="1">IF(ROW($O49)-5&lt;RSI_Periods, "", AVERAGE(INDIRECT(ADDRESS(ROW($O49)-RSI_Periods +1, MATCH("Downmove", Price_Header,0))): INDIRECT(ADDRESS(ROW($O49),MATCH("Downmove", Price_Header,0)))))</f>
        <v>0.71857135714285747</v>
      </c>
      <c r="R49" s="46">
        <f ca="1">IF(tbl_QCOM[[#This Row],[Avg_Upmove]]="", "", tbl_QCOM[[#This Row],[Avg_Upmove]]/tbl_QCOM[[#This Row],[Avg_Downmove]])</f>
        <v>2.2793243816425832</v>
      </c>
      <c r="S49" s="10">
        <f ca="1">IF(ROW($N49)-4&lt;BB_Periods, "", _xlfn.STDEV.S(INDIRECT(ADDRESS(ROW($F49)-RSI_Periods +1, MATCH("Adj Close", Price_Header,0))): INDIRECT(ADDRESS(ROW($F49),MATCH("Adj Close", Price_Header,0)))))</f>
        <v>4.6236539447588383</v>
      </c>
    </row>
    <row r="50" spans="1:19" x14ac:dyDescent="0.35">
      <c r="A50" s="8">
        <v>44117</v>
      </c>
      <c r="B50" s="10">
        <v>127.470001</v>
      </c>
      <c r="C50" s="10">
        <v>128.179993</v>
      </c>
      <c r="D50" s="10">
        <v>125.400002</v>
      </c>
      <c r="E50" s="10">
        <v>127.459999</v>
      </c>
      <c r="F50" s="10">
        <v>127.459999</v>
      </c>
      <c r="G50">
        <v>7605700</v>
      </c>
      <c r="H50" s="10">
        <f>IF(tbl_QCOM[[#This Row],[Date]]=$A$5, $F50, EMA_Beta*$H49 + (1-EMA_Beta)*$F50)</f>
        <v>119.79385294917743</v>
      </c>
      <c r="I50" s="46">
        <f ca="1">IF(tbl_QCOM[[#This Row],[RS]]= "", "", 100-(100/(1+tbl_QCOM[[#This Row],[RS]])))</f>
        <v>77.679450443734879</v>
      </c>
      <c r="J50" s="10">
        <f ca="1">IF(ROW($N50)-4&lt;BB_Periods, "", AVERAGE(INDIRECT(ADDRESS(ROW($F50)-RSI_Periods +1, MATCH("Adj Close", Price_Header,0))): INDIRECT(ADDRESS(ROW($F50),MATCH("Adj Close", Price_Header,0)))))</f>
        <v>119.97571392857142</v>
      </c>
      <c r="K50" s="10">
        <f ca="1">IF(tbl_QCOM[[#This Row],[BB_Mean]]="", "", tbl_QCOM[[#This Row],[BB_Mean]]+(BB_Width*tbl_QCOM[[#This Row],[BB_Stdev]]))</f>
        <v>129.01987787929079</v>
      </c>
      <c r="L50" s="10">
        <f ca="1">IF(tbl_QCOM[[#This Row],[BB_Mean]]="", "", tbl_QCOM[[#This Row],[BB_Mean]]-(BB_Width*tbl_QCOM[[#This Row],[BB_Stdev]]))</f>
        <v>110.93154997785204</v>
      </c>
      <c r="M50" s="46">
        <f>IF(ROW(tbl_QCOM[[#This Row],[Adj Close]])=5, 0, $F50-$F49)</f>
        <v>0.76999699999998938</v>
      </c>
      <c r="N50" s="46">
        <f>MAX(tbl_QCOM[[#This Row],[Move]],0)</f>
        <v>0.76999699999998938</v>
      </c>
      <c r="O50" s="46">
        <f>MAX(-tbl_QCOM[[#This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1.6928570000000005</v>
      </c>
      <c r="Q50" s="46">
        <f ca="1">IF(ROW($O50)-5&lt;RSI_Periods, "", AVERAGE(INDIRECT(ADDRESS(ROW($O50)-RSI_Periods +1, MATCH("Downmove", Price_Header,0))): INDIRECT(ADDRESS(ROW($O50),MATCH("Downmove", Price_Header,0)))))</f>
        <v>0.48642850000000032</v>
      </c>
      <c r="R50" s="46">
        <f ca="1">IF(tbl_QCOM[[#This Row],[Avg_Upmove]]="", "", tbl_QCOM[[#This Row],[Avg_Upmove]]/tbl_QCOM[[#This Row],[Avg_Downmove]])</f>
        <v>3.48017642880711</v>
      </c>
      <c r="S50" s="10">
        <f ca="1">IF(ROW($N50)-4&lt;BB_Periods, "", _xlfn.STDEV.S(INDIRECT(ADDRESS(ROW($F50)-RSI_Periods +1, MATCH("Adj Close", Price_Header,0))): INDIRECT(ADDRESS(ROW($F50),MATCH("Adj Close", Price_Header,0)))))</f>
        <v>4.522081975359689</v>
      </c>
    </row>
    <row r="51" spans="1:19" x14ac:dyDescent="0.35">
      <c r="A51" s="8">
        <v>44118</v>
      </c>
      <c r="B51" s="10">
        <v>129.08000200000001</v>
      </c>
      <c r="C51" s="10">
        <v>132.41999799999999</v>
      </c>
      <c r="D51" s="10">
        <v>128.929993</v>
      </c>
      <c r="E51" s="10">
        <v>129.88000500000001</v>
      </c>
      <c r="F51" s="10">
        <v>129.88000500000001</v>
      </c>
      <c r="G51">
        <v>13183600</v>
      </c>
      <c r="H51" s="10">
        <f>IF(tbl_QCOM[[#This Row],[Date]]=$A$5, $F51, EMA_Beta*$H50 + (1-EMA_Beta)*$F51)</f>
        <v>120.80246815425969</v>
      </c>
      <c r="I51" s="46">
        <f ca="1">IF(tbl_QCOM[[#This Row],[RS]]= "", "", 100-(100/(1+tbl_QCOM[[#This Row],[RS]])))</f>
        <v>78.249764348458498</v>
      </c>
      <c r="J51" s="10">
        <f ca="1">IF(ROW($N51)-4&lt;BB_Periods, "", AVERAGE(INDIRECT(ADDRESS(ROW($F51)-RSI_Periods +1, MATCH("Adj Close", Price_Header,0))): INDIRECT(ADDRESS(ROW($F51),MATCH("Adj Close", Price_Header,0)))))</f>
        <v>121.23928557142857</v>
      </c>
      <c r="K51" s="10">
        <f ca="1">IF(tbl_QCOM[[#This Row],[BB_Mean]]="", "", tbl_QCOM[[#This Row],[BB_Mean]]+(BB_Width*tbl_QCOM[[#This Row],[BB_Stdev]]))</f>
        <v>130.53717640478629</v>
      </c>
      <c r="L51" s="10">
        <f ca="1">IF(tbl_QCOM[[#This Row],[BB_Mean]]="", "", tbl_QCOM[[#This Row],[BB_Mean]]-(BB_Width*tbl_QCOM[[#This Row],[BB_Stdev]]))</f>
        <v>111.94139473807085</v>
      </c>
      <c r="M51" s="46">
        <f>IF(ROW(tbl_QCOM[[#This Row],[Adj Close]])=5, 0, $F51-$F50)</f>
        <v>2.420006000000015</v>
      </c>
      <c r="N51" s="46">
        <f>MAX(tbl_QCOM[[#This Row],[Move]],0)</f>
        <v>2.420006000000015</v>
      </c>
      <c r="O51" s="46">
        <f>MAX(-tbl_QCOM[[#This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1.7500001428571434</v>
      </c>
      <c r="Q51" s="46">
        <f ca="1">IF(ROW($O51)-5&lt;RSI_Periods, "", AVERAGE(INDIRECT(ADDRESS(ROW($O51)-RSI_Periods +1, MATCH("Downmove", Price_Header,0))): INDIRECT(ADDRESS(ROW($O51),MATCH("Downmove", Price_Header,0)))))</f>
        <v>0.48642850000000032</v>
      </c>
      <c r="R51" s="46">
        <f ca="1">IF(tbl_QCOM[[#This Row],[Avg_Upmove]]="", "", tbl_QCOM[[#This Row],[Avg_Upmove]]/tbl_QCOM[[#This Row],[Avg_Downmove]])</f>
        <v>3.5976513359253053</v>
      </c>
      <c r="S51" s="10">
        <f ca="1">IF(ROW($N51)-4&lt;BB_Periods, "", _xlfn.STDEV.S(INDIRECT(ADDRESS(ROW($F51)-RSI_Periods +1, MATCH("Adj Close", Price_Header,0))): INDIRECT(ADDRESS(ROW($F51),MATCH("Adj Close", Price_Header,0)))))</f>
        <v>4.648945416678858</v>
      </c>
    </row>
    <row r="52" spans="1:19" x14ac:dyDescent="0.35">
      <c r="A52" s="8">
        <v>44119</v>
      </c>
      <c r="B52" s="10">
        <v>127.300003</v>
      </c>
      <c r="C52" s="10">
        <v>129.13999899999999</v>
      </c>
      <c r="D52" s="10">
        <v>126.650002</v>
      </c>
      <c r="E52" s="10">
        <v>128.58000200000001</v>
      </c>
      <c r="F52" s="10">
        <v>128.58000200000001</v>
      </c>
      <c r="G52">
        <v>7376600</v>
      </c>
      <c r="H52" s="10">
        <f>IF(tbl_QCOM[[#This Row],[Date]]=$A$5, $F52, EMA_Beta*$H51 + (1-EMA_Beta)*$F52)</f>
        <v>121.58022153883371</v>
      </c>
      <c r="I52" s="46">
        <f ca="1">IF(tbl_QCOM[[#This Row],[RS]]= "", "", 100-(100/(1+tbl_QCOM[[#This Row],[RS]])))</f>
        <v>73.234322131817393</v>
      </c>
      <c r="J52" s="10">
        <f ca="1">IF(ROW($N52)-4&lt;BB_Periods, "", AVERAGE(INDIRECT(ADDRESS(ROW($F52)-RSI_Periods +1, MATCH("Adj Close", Price_Header,0))): INDIRECT(ADDRESS(ROW($F52),MATCH("Adj Close", Price_Header,0)))))</f>
        <v>122.24499999999999</v>
      </c>
      <c r="K52" s="10">
        <f ca="1">IF(tbl_QCOM[[#This Row],[BB_Mean]]="", "", tbl_QCOM[[#This Row],[BB_Mean]]+(BB_Width*tbl_QCOM[[#This Row],[BB_Stdev]]))</f>
        <v>131.44822187464118</v>
      </c>
      <c r="L52" s="10">
        <f ca="1">IF(tbl_QCOM[[#This Row],[BB_Mean]]="", "", tbl_QCOM[[#This Row],[BB_Mean]]-(BB_Width*tbl_QCOM[[#This Row],[BB_Stdev]]))</f>
        <v>113.0417781253588</v>
      </c>
      <c r="M52" s="46">
        <f>IF(ROW(tbl_QCOM[[#This Row],[Adj Close]])=5, 0, $F52-$F51)</f>
        <v>-1.3000030000000038</v>
      </c>
      <c r="N52" s="46">
        <f>MAX(tbl_QCOM[[#This Row],[Move]],0)</f>
        <v>0</v>
      </c>
      <c r="O52" s="46">
        <f>MAX(-tbl_QCOM[[#This Row],[Move]],0)</f>
        <v>1.3000030000000038</v>
      </c>
      <c r="P52" s="46">
        <f ca="1">IF(ROW($N52)-5&lt;RSI_Periods, "", AVERAGE(INDIRECT(ADDRESS(ROW($N52)-RSI_Periods +1, MATCH("Upmove", Price_Header,0))): INDIRECT(ADDRESS(ROW($N52),MATCH("Upmove", Price_Header,0)))))</f>
        <v>1.5850002857142869</v>
      </c>
      <c r="Q52" s="46">
        <f ca="1">IF(ROW($O52)-5&lt;RSI_Periods, "", AVERAGE(INDIRECT(ADDRESS(ROW($O52)-RSI_Periods +1, MATCH("Downmove", Price_Header,0))): INDIRECT(ADDRESS(ROW($O52),MATCH("Downmove", Price_Header,0)))))</f>
        <v>0.57928585714285774</v>
      </c>
      <c r="R52" s="46">
        <f ca="1">IF(tbl_QCOM[[#This Row],[Avg_Upmove]]="", "", tbl_QCOM[[#This Row],[Avg_Upmove]]/tbl_QCOM[[#This Row],[Avg_Downmove]])</f>
        <v>2.7361280552088636</v>
      </c>
      <c r="S52" s="10">
        <f ca="1">IF(ROW($N52)-4&lt;BB_Periods, "", _xlfn.STDEV.S(INDIRECT(ADDRESS(ROW($F52)-RSI_Periods +1, MATCH("Adj Close", Price_Header,0))): INDIRECT(ADDRESS(ROW($F52),MATCH("Adj Close", Price_Header,0)))))</f>
        <v>4.60161093732059</v>
      </c>
    </row>
    <row r="53" spans="1:19" x14ac:dyDescent="0.35">
      <c r="A53" s="8">
        <v>44120</v>
      </c>
      <c r="B53" s="10">
        <v>129.699997</v>
      </c>
      <c r="C53" s="10">
        <v>130.19000199999999</v>
      </c>
      <c r="D53" s="10">
        <v>127.739998</v>
      </c>
      <c r="E53" s="10">
        <v>129.029999</v>
      </c>
      <c r="F53" s="10">
        <v>129.029999</v>
      </c>
      <c r="G53">
        <v>6625400</v>
      </c>
      <c r="H53" s="10">
        <f>IF(tbl_QCOM[[#This Row],[Date]]=$A$5, $F53, EMA_Beta*$H52 + (1-EMA_Beta)*$F53)</f>
        <v>122.32519928495034</v>
      </c>
      <c r="I53" s="46">
        <f ca="1">IF(tbl_QCOM[[#This Row],[RS]]= "", "", 100-(100/(1+tbl_QCOM[[#This Row],[RS]])))</f>
        <v>69.716200917386033</v>
      </c>
      <c r="J53" s="10">
        <f ca="1">IF(ROW($N53)-4&lt;BB_Periods, "", AVERAGE(INDIRECT(ADDRESS(ROW($F53)-RSI_Periods +1, MATCH("Adj Close", Price_Header,0))): INDIRECT(ADDRESS(ROW($F53),MATCH("Adj Close", Price_Header,0)))))</f>
        <v>122.99928557142857</v>
      </c>
      <c r="K53" s="10">
        <f ca="1">IF(tbl_QCOM[[#This Row],[BB_Mean]]="", "", tbl_QCOM[[#This Row],[BB_Mean]]+(BB_Width*tbl_QCOM[[#This Row],[BB_Stdev]]))</f>
        <v>132.59244085077509</v>
      </c>
      <c r="L53" s="10">
        <f ca="1">IF(tbl_QCOM[[#This Row],[BB_Mean]]="", "", tbl_QCOM[[#This Row],[BB_Mean]]-(BB_Width*tbl_QCOM[[#This Row],[BB_Stdev]]))</f>
        <v>113.40613029208205</v>
      </c>
      <c r="M53" s="46">
        <f>IF(ROW(tbl_QCOM[[#This Row],[Adj Close]])=5, 0, $F53-$F52)</f>
        <v>0.44999699999999621</v>
      </c>
      <c r="N53" s="46">
        <f>MAX(tbl_QCOM[[#This Row],[Move]],0)</f>
        <v>0.44999699999999621</v>
      </c>
      <c r="O53" s="46">
        <f>MAX(-tbl_QCOM[[#This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1.3335714285714297</v>
      </c>
      <c r="Q53" s="46">
        <f ca="1">IF(ROW($O53)-5&lt;RSI_Periods, "", AVERAGE(INDIRECT(ADDRESS(ROW($O53)-RSI_Periods +1, MATCH("Downmove", Price_Header,0))): INDIRECT(ADDRESS(ROW($O53),MATCH("Downmove", Price_Header,0)))))</f>
        <v>0.57928585714285774</v>
      </c>
      <c r="R53" s="46">
        <f ca="1">IF(tbl_QCOM[[#This Row],[Avg_Upmove]]="", "", tbl_QCOM[[#This Row],[Avg_Upmove]]/tbl_QCOM[[#This Row],[Avg_Downmove]])</f>
        <v>2.3020956098407863</v>
      </c>
      <c r="S53" s="10">
        <f ca="1">IF(ROW($N53)-4&lt;BB_Periods, "", _xlfn.STDEV.S(INDIRECT(ADDRESS(ROW($F53)-RSI_Periods +1, MATCH("Adj Close", Price_Header,0))): INDIRECT(ADDRESS(ROW($F53),MATCH("Adj Close", Price_Header,0)))))</f>
        <v>4.7965776396732611</v>
      </c>
    </row>
    <row r="54" spans="1:19" x14ac:dyDescent="0.35">
      <c r="A54" s="8">
        <v>44123</v>
      </c>
      <c r="B54" s="10">
        <v>130.13000500000001</v>
      </c>
      <c r="C54" s="10">
        <v>131.96000699999999</v>
      </c>
      <c r="D54" s="10">
        <v>127.699997</v>
      </c>
      <c r="E54" s="10">
        <v>128.41999799999999</v>
      </c>
      <c r="F54" s="10">
        <v>128.41999799999999</v>
      </c>
      <c r="G54">
        <v>5765800</v>
      </c>
      <c r="H54" s="10">
        <f>IF(tbl_QCOM[[#This Row],[Date]]=$A$5, $F54, EMA_Beta*$H53 + (1-EMA_Beta)*$F54)</f>
        <v>122.9346791564553</v>
      </c>
      <c r="I54" s="46">
        <f ca="1">IF(tbl_QCOM[[#This Row],[RS]]= "", "", 100-(100/(1+tbl_QCOM[[#This Row],[RS]])))</f>
        <v>70.988595855079637</v>
      </c>
      <c r="J54" s="10">
        <f ca="1">IF(ROW($N54)-4&lt;BB_Periods, "", AVERAGE(INDIRECT(ADDRESS(ROW($F54)-RSI_Periods +1, MATCH("Adj Close", Price_Header,0))): INDIRECT(ADDRESS(ROW($F54),MATCH("Adj Close", Price_Header,0)))))</f>
        <v>123.78785707142856</v>
      </c>
      <c r="K54" s="10">
        <f ca="1">IF(tbl_QCOM[[#This Row],[BB_Mean]]="", "", tbl_QCOM[[#This Row],[BB_Mean]]+(BB_Width*tbl_QCOM[[#This Row],[BB_Stdev]]))</f>
        <v>133.20461677429688</v>
      </c>
      <c r="L54" s="10">
        <f ca="1">IF(tbl_QCOM[[#This Row],[BB_Mean]]="", "", tbl_QCOM[[#This Row],[BB_Mean]]-(BB_Width*tbl_QCOM[[#This Row],[BB_Stdev]]))</f>
        <v>114.37109736856024</v>
      </c>
      <c r="M54" s="46">
        <f>IF(ROW(tbl_QCOM[[#This Row],[Adj Close]])=5, 0, $F54-$F53)</f>
        <v>-0.61000100000001112</v>
      </c>
      <c r="N54" s="46">
        <f>MAX(tbl_QCOM[[#This Row],[Move]],0)</f>
        <v>0</v>
      </c>
      <c r="O54" s="46">
        <f>MAX(-tbl_QCOM[[#This Row],[Move]],0)</f>
        <v>0.61000100000001112</v>
      </c>
      <c r="P54" s="46">
        <f ca="1">IF(ROW($N54)-5&lt;RSI_Periods, "", AVERAGE(INDIRECT(ADDRESS(ROW($N54)-RSI_Periods +1, MATCH("Upmove", Price_Header,0))): INDIRECT(ADDRESS(ROW($N54),MATCH("Upmove", Price_Header,0)))))</f>
        <v>1.3335714285714297</v>
      </c>
      <c r="Q54" s="46">
        <f ca="1">IF(ROW($O54)-5&lt;RSI_Periods, "", AVERAGE(INDIRECT(ADDRESS(ROW($O54)-RSI_Periods +1, MATCH("Downmove", Price_Header,0))): INDIRECT(ADDRESS(ROW($O54),MATCH("Downmove", Price_Header,0)))))</f>
        <v>0.54499992857143043</v>
      </c>
      <c r="R54" s="46">
        <f ca="1">IF(tbl_QCOM[[#This Row],[Avg_Upmove]]="", "", tbl_QCOM[[#This Row],[Avg_Upmove]]/tbl_QCOM[[#This Row],[Avg_Downmove]])</f>
        <v>2.4469203731219302</v>
      </c>
      <c r="S54" s="10">
        <f ca="1">IF(ROW($N54)-4&lt;BB_Periods, "", _xlfn.STDEV.S(INDIRECT(ADDRESS(ROW($F54)-RSI_Periods +1, MATCH("Adj Close", Price_Header,0))): INDIRECT(ADDRESS(ROW($F54),MATCH("Adj Close", Price_Header,0)))))</f>
        <v>4.7083798514341595</v>
      </c>
    </row>
    <row r="55" spans="1:19" x14ac:dyDescent="0.35">
      <c r="A55" s="8">
        <v>44124</v>
      </c>
      <c r="B55" s="10">
        <v>129.18</v>
      </c>
      <c r="C55" s="10">
        <v>129.33000000000001</v>
      </c>
      <c r="D55" s="10">
        <v>127.51</v>
      </c>
      <c r="E55" s="10">
        <v>128.30000000000001</v>
      </c>
      <c r="F55" s="10">
        <v>128.30000000000001</v>
      </c>
      <c r="G55">
        <v>4409800</v>
      </c>
      <c r="H55" s="10">
        <f>IF(tbl_QCOM[[#This Row],[Date]]=$A$5, $F55, EMA_Beta*$H54 + (1-EMA_Beta)*$F55)</f>
        <v>123.47121124080978</v>
      </c>
      <c r="I55" s="46">
        <f ca="1">IF(tbl_QCOM[[#This Row],[RS]]= "", "", 100-(100/(1+tbl_QCOM[[#This Row],[RS]])))</f>
        <v>70.329254286964982</v>
      </c>
      <c r="J55" s="10">
        <f ca="1">IF(ROW($N55)-4&lt;BB_Periods, "", AVERAGE(INDIRECT(ADDRESS(ROW($F55)-RSI_Periods +1, MATCH("Adj Close", Price_Header,0))): INDIRECT(ADDRESS(ROW($F55),MATCH("Adj Close", Price_Header,0)))))</f>
        <v>124.54642850000002</v>
      </c>
      <c r="K55" s="10">
        <f ca="1">IF(tbl_QCOM[[#This Row],[BB_Mean]]="", "", tbl_QCOM[[#This Row],[BB_Mean]]+(BB_Width*tbl_QCOM[[#This Row],[BB_Stdev]]))</f>
        <v>133.54544413781821</v>
      </c>
      <c r="L55" s="10">
        <f ca="1">IF(tbl_QCOM[[#This Row],[BB_Mean]]="", "", tbl_QCOM[[#This Row],[BB_Mean]]-(BB_Width*tbl_QCOM[[#This Row],[BB_Stdev]]))</f>
        <v>115.54741286218182</v>
      </c>
      <c r="M55" s="46">
        <f>IF(ROW(tbl_QCOM[[#This Row],[Adj Close]])=5, 0, $F55-$F54)</f>
        <v>-0.11999799999998118</v>
      </c>
      <c r="N55" s="46">
        <f>MAX(tbl_QCOM[[#This Row],[Move]],0)</f>
        <v>0</v>
      </c>
      <c r="O55" s="46">
        <f>MAX(-tbl_QCOM[[#This Row],[Move]],0)</f>
        <v>0.11999799999998118</v>
      </c>
      <c r="P55" s="46">
        <f ca="1">IF(ROW($N55)-5&lt;RSI_Periods, "", AVERAGE(INDIRECT(ADDRESS(ROW($N55)-RSI_Periods +1, MATCH("Upmove", Price_Header,0))): INDIRECT(ADDRESS(ROW($N55),MATCH("Upmove", Price_Header,0)))))</f>
        <v>1.3121426428571437</v>
      </c>
      <c r="Q55" s="46">
        <f ca="1">IF(ROW($O55)-5&lt;RSI_Periods, "", AVERAGE(INDIRECT(ADDRESS(ROW($O55)-RSI_Periods +1, MATCH("Downmove", Price_Header,0))): INDIRECT(ADDRESS(ROW($O55),MATCH("Downmove", Price_Header,0)))))</f>
        <v>0.55357121428571487</v>
      </c>
      <c r="R55" s="46">
        <f ca="1">IF(tbl_QCOM[[#This Row],[Avg_Upmove]]="", "", tbl_QCOM[[#This Row],[Avg_Upmove]]/tbl_QCOM[[#This Row],[Avg_Downmove]])</f>
        <v>2.3703231110928162</v>
      </c>
      <c r="S55" s="10">
        <f ca="1">IF(ROW($N55)-4&lt;BB_Periods, "", _xlfn.STDEV.S(INDIRECT(ADDRESS(ROW($F55)-RSI_Periods +1, MATCH("Adj Close", Price_Header,0))): INDIRECT(ADDRESS(ROW($F55),MATCH("Adj Close", Price_Header,0)))))</f>
        <v>4.4995078189091009</v>
      </c>
    </row>
    <row r="56" spans="1:19" x14ac:dyDescent="0.35">
      <c r="A56" s="8">
        <v>44125</v>
      </c>
      <c r="B56" s="10">
        <v>128.04</v>
      </c>
      <c r="C56" s="10">
        <v>130.41999999999999</v>
      </c>
      <c r="D56" s="10">
        <v>126.37</v>
      </c>
      <c r="E56" s="10">
        <v>128.55000000000001</v>
      </c>
      <c r="F56" s="10">
        <v>128.55000000000001</v>
      </c>
      <c r="G56">
        <v>4344000</v>
      </c>
      <c r="H56" s="10">
        <f>IF(tbl_QCOM[[#This Row],[Date]]=$A$5, $F56, EMA_Beta*$H55 + (1-EMA_Beta)*$F56)</f>
        <v>123.97909011672881</v>
      </c>
      <c r="I56" s="46">
        <f ca="1">IF(tbl_QCOM[[#This Row],[RS]]= "", "", 100-(100/(1+tbl_QCOM[[#This Row],[RS]])))</f>
        <v>68.406041794460876</v>
      </c>
      <c r="J56" s="10">
        <f ca="1">IF(ROW($N56)-4&lt;BB_Periods, "", AVERAGE(INDIRECT(ADDRESS(ROW($F56)-RSI_Periods +1, MATCH("Adj Close", Price_Header,0))): INDIRECT(ADDRESS(ROW($F56),MATCH("Adj Close", Price_Header,0)))))</f>
        <v>125.19142871428573</v>
      </c>
      <c r="K56" s="10">
        <f ca="1">IF(tbl_QCOM[[#This Row],[BB_Mean]]="", "", tbl_QCOM[[#This Row],[BB_Mean]]+(BB_Width*tbl_QCOM[[#This Row],[BB_Stdev]]))</f>
        <v>133.92917415880459</v>
      </c>
      <c r="L56" s="10">
        <f ca="1">IF(tbl_QCOM[[#This Row],[BB_Mean]]="", "", tbl_QCOM[[#This Row],[BB_Mean]]-(BB_Width*tbl_QCOM[[#This Row],[BB_Stdev]]))</f>
        <v>116.45368326976687</v>
      </c>
      <c r="M56" s="46">
        <f>IF(ROW(tbl_QCOM[[#This Row],[Adj Close]])=5, 0, $F56-$F55)</f>
        <v>0.25</v>
      </c>
      <c r="N56" s="46">
        <f>MAX(tbl_QCOM[[#This Row],[Move]],0)</f>
        <v>0.25</v>
      </c>
      <c r="O56" s="46">
        <f>MAX(-tbl_QCOM[[#This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1.1985714285714297</v>
      </c>
      <c r="Q56" s="46">
        <f ca="1">IF(ROW($O56)-5&lt;RSI_Periods, "", AVERAGE(INDIRECT(ADDRESS(ROW($O56)-RSI_Periods +1, MATCH("Downmove", Price_Header,0))): INDIRECT(ADDRESS(ROW($O56),MATCH("Downmove", Price_Header,0)))))</f>
        <v>0.55357121428571487</v>
      </c>
      <c r="R56" s="46">
        <f ca="1">IF(tbl_QCOM[[#This Row],[Avg_Upmove]]="", "", tbl_QCOM[[#This Row],[Avg_Upmove]]/tbl_QCOM[[#This Row],[Avg_Downmove]])</f>
        <v>2.1651621284498561</v>
      </c>
      <c r="S56" s="10">
        <f ca="1">IF(ROW($N56)-4&lt;BB_Periods, "", _xlfn.STDEV.S(INDIRECT(ADDRESS(ROW($F56)-RSI_Periods +1, MATCH("Adj Close", Price_Header,0))): INDIRECT(ADDRESS(ROW($F56),MATCH("Adj Close", Price_Header,0)))))</f>
        <v>4.3688727222594324</v>
      </c>
    </row>
    <row r="57" spans="1:19" x14ac:dyDescent="0.35">
      <c r="A57" s="8">
        <v>44126</v>
      </c>
      <c r="B57" s="10">
        <v>129.51</v>
      </c>
      <c r="C57" s="10">
        <v>129.59</v>
      </c>
      <c r="D57" s="10">
        <v>126.86</v>
      </c>
      <c r="E57" s="10">
        <v>128.38</v>
      </c>
      <c r="F57" s="10">
        <v>128.38</v>
      </c>
      <c r="G57">
        <v>3895100</v>
      </c>
      <c r="H57" s="10">
        <f>IF(tbl_QCOM[[#This Row],[Date]]=$A$5, $F57, EMA_Beta*$H56 + (1-EMA_Beta)*$F57)</f>
        <v>124.41918110505593</v>
      </c>
      <c r="I57" s="46">
        <f ca="1">IF(tbl_QCOM[[#This Row],[RS]]= "", "", 100-(100/(1+tbl_QCOM[[#This Row],[RS]])))</f>
        <v>81.259075968083437</v>
      </c>
      <c r="J57" s="10">
        <f ca="1">IF(ROW($N57)-4&lt;BB_Periods, "", AVERAGE(INDIRECT(ADDRESS(ROW($F57)-RSI_Periods +1, MATCH("Adj Close", Price_Header,0))): INDIRECT(ADDRESS(ROW($F57),MATCH("Adj Close", Price_Header,0)))))</f>
        <v>126.11357150000001</v>
      </c>
      <c r="K57" s="10">
        <f ca="1">IF(tbl_QCOM[[#This Row],[BB_Mean]]="", "", tbl_QCOM[[#This Row],[BB_Mean]]+(BB_Width*tbl_QCOM[[#This Row],[BB_Stdev]]))</f>
        <v>132.9498458524526</v>
      </c>
      <c r="L57" s="10">
        <f ca="1">IF(tbl_QCOM[[#This Row],[BB_Mean]]="", "", tbl_QCOM[[#This Row],[BB_Mean]]-(BB_Width*tbl_QCOM[[#This Row],[BB_Stdev]]))</f>
        <v>119.27729714754742</v>
      </c>
      <c r="M57" s="46">
        <f>IF(ROW(tbl_QCOM[[#This Row],[Adj Close]])=5, 0, $F57-$F56)</f>
        <v>-0.17000000000001592</v>
      </c>
      <c r="N57" s="46">
        <f>MAX(tbl_QCOM[[#This Row],[Move]],0)</f>
        <v>0</v>
      </c>
      <c r="O57" s="46">
        <f>MAX(-tbl_QCOM[[#This Row],[Move]],0)</f>
        <v>0.17000000000001592</v>
      </c>
      <c r="P57" s="46">
        <f ca="1">IF(ROW($N57)-5&lt;RSI_Periods, "", AVERAGE(INDIRECT(ADDRESS(ROW($N57)-RSI_Periods +1, MATCH("Upmove", Price_Header,0))): INDIRECT(ADDRESS(ROW($N57),MATCH("Upmove", Price_Header,0)))))</f>
        <v>1.1985714285714297</v>
      </c>
      <c r="Q57" s="46">
        <f ca="1">IF(ROW($O57)-5&lt;RSI_Periods, "", AVERAGE(INDIRECT(ADDRESS(ROW($O57)-RSI_Periods +1, MATCH("Downmove", Price_Header,0))): INDIRECT(ADDRESS(ROW($O57),MATCH("Downmove", Price_Header,0)))))</f>
        <v>0.27642864285714402</v>
      </c>
      <c r="R57" s="46">
        <f ca="1">IF(tbl_QCOM[[#This Row],[Avg_Upmove]]="", "", tbl_QCOM[[#This Row],[Avg_Upmove]]/tbl_QCOM[[#This Row],[Avg_Downmove]])</f>
        <v>4.3359161922697034</v>
      </c>
      <c r="S57" s="10">
        <f ca="1">IF(ROW($N57)-4&lt;BB_Periods, "", _xlfn.STDEV.S(INDIRECT(ADDRESS(ROW($F57)-RSI_Periods +1, MATCH("Adj Close", Price_Header,0))): INDIRECT(ADDRESS(ROW($F57),MATCH("Adj Close", Price_Header,0)))))</f>
        <v>3.4181371762262964</v>
      </c>
    </row>
    <row r="58" spans="1:19" x14ac:dyDescent="0.35">
      <c r="A58" s="8">
        <v>44127</v>
      </c>
      <c r="B58" s="10">
        <v>128.59</v>
      </c>
      <c r="C58" s="10">
        <v>129.1</v>
      </c>
      <c r="D58" s="10">
        <v>127.1</v>
      </c>
      <c r="E58" s="10">
        <v>128.88</v>
      </c>
      <c r="F58" s="10">
        <v>128.88</v>
      </c>
      <c r="G58">
        <v>3943100</v>
      </c>
      <c r="H58" s="10">
        <f>IF(tbl_QCOM[[#This Row],[Date]]=$A$5, $F58, EMA_Beta*$H57 + (1-EMA_Beta)*$F58)</f>
        <v>124.86526299455032</v>
      </c>
      <c r="I58" s="46">
        <f ca="1">IF(tbl_QCOM[[#This Row],[RS]]= "", "", 100-(100/(1+tbl_QCOM[[#This Row],[RS]])))</f>
        <v>75.962734173063865</v>
      </c>
      <c r="J58" s="10">
        <f ca="1">IF(ROW($N58)-4&lt;BB_Periods, "", AVERAGE(INDIRECT(ADDRESS(ROW($F58)-RSI_Periods +1, MATCH("Adj Close", Price_Header,0))): INDIRECT(ADDRESS(ROW($F58),MATCH("Adj Close", Price_Header,0)))))</f>
        <v>126.7107145714286</v>
      </c>
      <c r="K58" s="10">
        <f ca="1">IF(tbl_QCOM[[#This Row],[BB_Mean]]="", "", tbl_QCOM[[#This Row],[BB_Mean]]+(BB_Width*tbl_QCOM[[#This Row],[BB_Stdev]]))</f>
        <v>132.86914933539242</v>
      </c>
      <c r="L58" s="10">
        <f ca="1">IF(tbl_QCOM[[#This Row],[BB_Mean]]="", "", tbl_QCOM[[#This Row],[BB_Mean]]-(BB_Width*tbl_QCOM[[#This Row],[BB_Stdev]]))</f>
        <v>120.55227980746479</v>
      </c>
      <c r="M58" s="46">
        <f>IF(ROW(tbl_QCOM[[#This Row],[Adj Close]])=5, 0, $F58-$F57)</f>
        <v>0.5</v>
      </c>
      <c r="N58" s="46">
        <f>MAX(tbl_QCOM[[#This Row],[Move]],0)</f>
        <v>0.5</v>
      </c>
      <c r="O58" s="46">
        <f>MAX(-tbl_QCOM[[#This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0.8735717142857149</v>
      </c>
      <c r="Q58" s="46">
        <f ca="1">IF(ROW($O58)-5&lt;RSI_Periods, "", AVERAGE(INDIRECT(ADDRESS(ROW($O58)-RSI_Periods +1, MATCH("Downmove", Price_Header,0))): INDIRECT(ADDRESS(ROW($O58),MATCH("Downmove", Price_Header,0)))))</f>
        <v>0.27642864285714402</v>
      </c>
      <c r="R58" s="46">
        <f ca="1">IF(tbl_QCOM[[#This Row],[Avg_Upmove]]="", "", tbl_QCOM[[#This Row],[Avg_Upmove]]/tbl_QCOM[[#This Row],[Avg_Downmove]])</f>
        <v>3.1602069353470341</v>
      </c>
      <c r="S58" s="10">
        <f ca="1">IF(ROW($N58)-4&lt;BB_Periods, "", _xlfn.STDEV.S(INDIRECT(ADDRESS(ROW($F58)-RSI_Periods +1, MATCH("Adj Close", Price_Header,0))): INDIRECT(ADDRESS(ROW($F58),MATCH("Adj Close", Price_Header,0)))))</f>
        <v>3.0792173819819055</v>
      </c>
    </row>
    <row r="59" spans="1:19" x14ac:dyDescent="0.35">
      <c r="A59" s="8">
        <v>44130</v>
      </c>
      <c r="B59" s="10">
        <v>127.53</v>
      </c>
      <c r="C59" s="10">
        <v>128.66999999999999</v>
      </c>
      <c r="D59" s="10">
        <v>124.4</v>
      </c>
      <c r="E59" s="10">
        <v>126.2</v>
      </c>
      <c r="F59" s="10">
        <v>126.2</v>
      </c>
      <c r="G59">
        <v>6065900</v>
      </c>
      <c r="H59" s="10">
        <f>IF(tbl_QCOM[[#This Row],[Date]]=$A$5, $F59, EMA_Beta*$H58 + (1-EMA_Beta)*$F59)</f>
        <v>124.99873669509529</v>
      </c>
      <c r="I59" s="46">
        <f ca="1">IF(tbl_QCOM[[#This Row],[RS]]= "", "", 100-(100/(1+tbl_QCOM[[#This Row],[RS]])))</f>
        <v>68.70785290052379</v>
      </c>
      <c r="J59" s="10">
        <f ca="1">IF(ROW($N59)-4&lt;BB_Periods, "", AVERAGE(INDIRECT(ADDRESS(ROW($F59)-RSI_Periods +1, MATCH("Adj Close", Price_Header,0))): INDIRECT(ADDRESS(ROW($F59),MATCH("Adj Close", Price_Header,0)))))</f>
        <v>127.18642878571428</v>
      </c>
      <c r="K59" s="10">
        <f ca="1">IF(tbl_QCOM[[#This Row],[BB_Mean]]="", "", tbl_QCOM[[#This Row],[BB_Mean]]+(BB_Width*tbl_QCOM[[#This Row],[BB_Stdev]]))</f>
        <v>131.79190966664683</v>
      </c>
      <c r="L59" s="10">
        <f ca="1">IF(tbl_QCOM[[#This Row],[BB_Mean]]="", "", tbl_QCOM[[#This Row],[BB_Mean]]-(BB_Width*tbl_QCOM[[#This Row],[BB_Stdev]]))</f>
        <v>122.58094790478174</v>
      </c>
      <c r="M59" s="46">
        <f>IF(ROW(tbl_QCOM[[#This Row],[Adj Close]])=5, 0, $F59-$F58)</f>
        <v>-2.6799999999999926</v>
      </c>
      <c r="N59" s="46">
        <f>MAX(tbl_QCOM[[#This Row],[Move]],0)</f>
        <v>0</v>
      </c>
      <c r="O59" s="46">
        <f>MAX(-tbl_QCOM[[#This Row],[Move]],0)</f>
        <v>2.6799999999999926</v>
      </c>
      <c r="P59" s="46">
        <f ca="1">IF(ROW($N59)-5&lt;RSI_Periods, "", AVERAGE(INDIRECT(ADDRESS(ROW($N59)-RSI_Periods +1, MATCH("Upmove", Price_Header,0))): INDIRECT(ADDRESS(ROW($N59),MATCH("Upmove", Price_Header,0)))))</f>
        <v>0.8735717142857149</v>
      </c>
      <c r="Q59" s="46">
        <f ca="1">IF(ROW($O59)-5&lt;RSI_Periods, "", AVERAGE(INDIRECT(ADDRESS(ROW($O59)-RSI_Periods +1, MATCH("Downmove", Price_Header,0))): INDIRECT(ADDRESS(ROW($O59),MATCH("Downmove", Price_Header,0)))))</f>
        <v>0.39785750000000064</v>
      </c>
      <c r="R59" s="46">
        <f ca="1">IF(tbl_QCOM[[#This Row],[Avg_Upmove]]="", "", tbl_QCOM[[#This Row],[Avg_Upmove]]/tbl_QCOM[[#This Row],[Avg_Downmove]])</f>
        <v>2.1956899500090197</v>
      </c>
      <c r="S59" s="10">
        <f ca="1">IF(ROW($N59)-4&lt;BB_Periods, "", _xlfn.STDEV.S(INDIRECT(ADDRESS(ROW($F59)-RSI_Periods +1, MATCH("Adj Close", Price_Header,0))): INDIRECT(ADDRESS(ROW($F59),MATCH("Adj Close", Price_Header,0)))))</f>
        <v>2.3027404404662732</v>
      </c>
    </row>
    <row r="60" spans="1:19" x14ac:dyDescent="0.35">
      <c r="A60" s="8">
        <v>44131</v>
      </c>
      <c r="B60" s="10">
        <v>126.51</v>
      </c>
      <c r="C60" s="10">
        <v>126.96</v>
      </c>
      <c r="D60" s="10">
        <v>125.19</v>
      </c>
      <c r="E60" s="10">
        <v>125.91</v>
      </c>
      <c r="F60" s="10">
        <v>125.91</v>
      </c>
      <c r="G60">
        <v>5825500</v>
      </c>
      <c r="H60" s="10">
        <f>IF(tbl_QCOM[[#This Row],[Date]]=$A$5, $F60, EMA_Beta*$H59 + (1-EMA_Beta)*$F60)</f>
        <v>125.08986302558576</v>
      </c>
      <c r="I60" s="46">
        <f ca="1">IF(tbl_QCOM[[#This Row],[RS]]= "", "", 100-(100/(1+tbl_QCOM[[#This Row],[RS]])))</f>
        <v>59.86300969225293</v>
      </c>
      <c r="J60" s="10">
        <f ca="1">IF(ROW($N60)-4&lt;BB_Periods, "", AVERAGE(INDIRECT(ADDRESS(ROW($F60)-RSI_Periods +1, MATCH("Adj Close", Price_Header,0))): INDIRECT(ADDRESS(ROW($F60),MATCH("Adj Close", Price_Header,0)))))</f>
        <v>127.39214314285717</v>
      </c>
      <c r="K60" s="10">
        <f ca="1">IF(tbl_QCOM[[#This Row],[BB_Mean]]="", "", tbl_QCOM[[#This Row],[BB_Mean]]+(BB_Width*tbl_QCOM[[#This Row],[BB_Stdev]]))</f>
        <v>131.41878061377719</v>
      </c>
      <c r="L60" s="10">
        <f ca="1">IF(tbl_QCOM[[#This Row],[BB_Mean]]="", "", tbl_QCOM[[#This Row],[BB_Mean]]-(BB_Width*tbl_QCOM[[#This Row],[BB_Stdev]]))</f>
        <v>123.36550567193714</v>
      </c>
      <c r="M60" s="46">
        <f>IF(ROW(tbl_QCOM[[#This Row],[Adj Close]])=5, 0, $F60-$F59)</f>
        <v>-0.29000000000000625</v>
      </c>
      <c r="N60" s="46">
        <f>MAX(tbl_QCOM[[#This Row],[Move]],0)</f>
        <v>0</v>
      </c>
      <c r="O60" s="46">
        <f>MAX(-tbl_QCOM[[#This Row],[Move]],0)</f>
        <v>0.29000000000000625</v>
      </c>
      <c r="P60" s="46">
        <f ca="1">IF(ROW($N60)-5&lt;RSI_Periods, "", AVERAGE(INDIRECT(ADDRESS(ROW($N60)-RSI_Periods +1, MATCH("Upmove", Price_Header,0))): INDIRECT(ADDRESS(ROW($N60),MATCH("Upmove", Price_Header,0)))))</f>
        <v>0.62428614285714346</v>
      </c>
      <c r="Q60" s="46">
        <f ca="1">IF(ROW($O60)-5&lt;RSI_Periods, "", AVERAGE(INDIRECT(ADDRESS(ROW($O60)-RSI_Periods +1, MATCH("Downmove", Price_Header,0))): INDIRECT(ADDRESS(ROW($O60),MATCH("Downmove", Price_Header,0)))))</f>
        <v>0.41857178571428683</v>
      </c>
      <c r="R60" s="46">
        <f ca="1">IF(tbl_QCOM[[#This Row],[Avg_Upmove]]="", "", tbl_QCOM[[#This Row],[Avg_Upmove]]/tbl_QCOM[[#This Row],[Avg_Downmove]])</f>
        <v>1.491467328099547</v>
      </c>
      <c r="S60" s="10">
        <f ca="1">IF(ROW($N60)-4&lt;BB_Periods, "", _xlfn.STDEV.S(INDIRECT(ADDRESS(ROW($F60)-RSI_Periods +1, MATCH("Adj Close", Price_Header,0))): INDIRECT(ADDRESS(ROW($F60),MATCH("Adj Close", Price_Header,0)))))</f>
        <v>2.0133187354600102</v>
      </c>
    </row>
    <row r="61" spans="1:19" x14ac:dyDescent="0.35">
      <c r="A61" s="8">
        <v>44132</v>
      </c>
      <c r="B61" s="10">
        <v>123.5</v>
      </c>
      <c r="C61" s="10">
        <v>123.82</v>
      </c>
      <c r="D61" s="10">
        <v>121.05</v>
      </c>
      <c r="E61" s="10">
        <v>121.58</v>
      </c>
      <c r="F61" s="10">
        <v>121.58</v>
      </c>
      <c r="G61">
        <v>8234800</v>
      </c>
      <c r="H61" s="10">
        <f>IF(tbl_QCOM[[#This Row],[Date]]=$A$5, $F61, EMA_Beta*$H60 + (1-EMA_Beta)*$F61)</f>
        <v>124.73887672302719</v>
      </c>
      <c r="I61" s="46">
        <f ca="1">IF(tbl_QCOM[[#This Row],[RS]]= "", "", 100-(100/(1+tbl_QCOM[[#This Row],[RS]])))</f>
        <v>47.916678545316429</v>
      </c>
      <c r="J61" s="10">
        <f ca="1">IF(ROW($N61)-4&lt;BB_Periods, "", AVERAGE(INDIRECT(ADDRESS(ROW($F61)-RSI_Periods +1, MATCH("Adj Close", Price_Header,0))): INDIRECT(ADDRESS(ROW($F61),MATCH("Adj Close", Price_Header,0)))))</f>
        <v>127.33785771428572</v>
      </c>
      <c r="K61" s="10">
        <f ca="1">IF(tbl_QCOM[[#This Row],[BB_Mean]]="", "", tbl_QCOM[[#This Row],[BB_Mean]]+(BB_Width*tbl_QCOM[[#This Row],[BB_Stdev]]))</f>
        <v>131.66702323162238</v>
      </c>
      <c r="L61" s="10">
        <f ca="1">IF(tbl_QCOM[[#This Row],[BB_Mean]]="", "", tbl_QCOM[[#This Row],[BB_Mean]]-(BB_Width*tbl_QCOM[[#This Row],[BB_Stdev]]))</f>
        <v>123.00869219694904</v>
      </c>
      <c r="M61" s="46">
        <f>IF(ROW(tbl_QCOM[[#This Row],[Adj Close]])=5, 0, $F61-$F60)</f>
        <v>-4.3299999999999983</v>
      </c>
      <c r="N61" s="46">
        <f>MAX(tbl_QCOM[[#This Row],[Move]],0)</f>
        <v>0</v>
      </c>
      <c r="O61" s="46">
        <f>MAX(-tbl_QCOM[[#This Row],[Move]],0)</f>
        <v>4.3299999999999983</v>
      </c>
      <c r="P61" s="46">
        <f ca="1">IF(ROW($N61)-5&lt;RSI_Periods, "", AVERAGE(INDIRECT(ADDRESS(ROW($N61)-RSI_Periods +1, MATCH("Upmove", Price_Header,0))): INDIRECT(ADDRESS(ROW($N61),MATCH("Upmove", Price_Header,0)))))</f>
        <v>0.62428614285714346</v>
      </c>
      <c r="Q61" s="46">
        <f ca="1">IF(ROW($O61)-5&lt;RSI_Periods, "", AVERAGE(INDIRECT(ADDRESS(ROW($O61)-RSI_Periods +1, MATCH("Downmove", Price_Header,0))): INDIRECT(ADDRESS(ROW($O61),MATCH("Downmove", Price_Header,0)))))</f>
        <v>0.67857157142857205</v>
      </c>
      <c r="R61" s="46">
        <f ca="1">IF(tbl_QCOM[[#This Row],[Avg_Upmove]]="", "", tbl_QCOM[[#This Row],[Avg_Upmove]]/tbl_QCOM[[#This Row],[Avg_Downmove]])</f>
        <v>0.9200004378946447</v>
      </c>
      <c r="S61" s="10">
        <f ca="1">IF(ROW($N61)-4&lt;BB_Periods, "", _xlfn.STDEV.S(INDIRECT(ADDRESS(ROW($F61)-RSI_Periods +1, MATCH("Adj Close", Price_Header,0))): INDIRECT(ADDRESS(ROW($F61),MATCH("Adj Close", Price_Header,0)))))</f>
        <v>2.1645827586683373</v>
      </c>
    </row>
    <row r="62" spans="1:19" x14ac:dyDescent="0.35">
      <c r="A62" s="8">
        <v>44133</v>
      </c>
      <c r="B62" s="10">
        <v>122.06</v>
      </c>
      <c r="C62" s="10">
        <v>127.69</v>
      </c>
      <c r="D62" s="10">
        <v>121.89</v>
      </c>
      <c r="E62" s="10">
        <v>126.44</v>
      </c>
      <c r="F62" s="10">
        <v>126.44</v>
      </c>
      <c r="G62">
        <v>7053300</v>
      </c>
      <c r="H62" s="10">
        <f>IF(tbl_QCOM[[#This Row],[Date]]=$A$5, $F62, EMA_Beta*$H61 + (1-EMA_Beta)*$F62)</f>
        <v>124.90898905072446</v>
      </c>
      <c r="I62" s="46">
        <f ca="1">IF(tbl_QCOM[[#This Row],[RS]]= "", "", 100-(100/(1+tbl_QCOM[[#This Row],[RS]])))</f>
        <v>53.81622976100001</v>
      </c>
      <c r="J62" s="10">
        <f ca="1">IF(ROW($N62)-4&lt;BB_Periods, "", AVERAGE(INDIRECT(ADDRESS(ROW($F62)-RSI_Periods +1, MATCH("Adj Close", Price_Header,0))): INDIRECT(ADDRESS(ROW($F62),MATCH("Adj Close", Price_Header,0)))))</f>
        <v>127.45000035714286</v>
      </c>
      <c r="K62" s="10">
        <f ca="1">IF(tbl_QCOM[[#This Row],[BB_Mean]]="", "", tbl_QCOM[[#This Row],[BB_Mean]]+(BB_Width*tbl_QCOM[[#This Row],[BB_Stdev]]))</f>
        <v>131.58057002245675</v>
      </c>
      <c r="L62" s="10">
        <f ca="1">IF(tbl_QCOM[[#This Row],[BB_Mean]]="", "", tbl_QCOM[[#This Row],[BB_Mean]]-(BB_Width*tbl_QCOM[[#This Row],[BB_Stdev]]))</f>
        <v>123.31943069182894</v>
      </c>
      <c r="M62" s="46">
        <f>IF(ROW(tbl_QCOM[[#This Row],[Adj Close]])=5, 0, $F62-$F61)</f>
        <v>4.8599999999999994</v>
      </c>
      <c r="N62" s="46">
        <f>MAX(tbl_QCOM[[#This Row],[Move]],0)</f>
        <v>4.8599999999999994</v>
      </c>
      <c r="O62" s="46">
        <f>MAX(-tbl_QCOM[[#This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0.79071421428571498</v>
      </c>
      <c r="Q62" s="46">
        <f ca="1">IF(ROW($O62)-5&lt;RSI_Periods, "", AVERAGE(INDIRECT(ADDRESS(ROW($O62)-RSI_Periods +1, MATCH("Downmove", Price_Header,0))): INDIRECT(ADDRESS(ROW($O62),MATCH("Downmove", Price_Header,0)))))</f>
        <v>0.67857157142857205</v>
      </c>
      <c r="R62" s="46">
        <f ca="1">IF(tbl_QCOM[[#This Row],[Avg_Upmove]]="", "", tbl_QCOM[[#This Row],[Avg_Upmove]]/tbl_QCOM[[#This Row],[Avg_Downmove]])</f>
        <v>1.1652628073130931</v>
      </c>
      <c r="S62" s="10">
        <f ca="1">IF(ROW($N62)-4&lt;BB_Periods, "", _xlfn.STDEV.S(INDIRECT(ADDRESS(ROW($F62)-RSI_Periods +1, MATCH("Adj Close", Price_Header,0))): INDIRECT(ADDRESS(ROW($F62),MATCH("Adj Close", Price_Header,0)))))</f>
        <v>2.0652848326569559</v>
      </c>
    </row>
    <row r="63" spans="1:19" x14ac:dyDescent="0.35">
      <c r="A63" s="8">
        <v>44134</v>
      </c>
      <c r="B63" s="10">
        <v>123.68</v>
      </c>
      <c r="C63" s="10">
        <v>125.25</v>
      </c>
      <c r="D63" s="10">
        <v>121.6</v>
      </c>
      <c r="E63" s="10">
        <v>123.36</v>
      </c>
      <c r="F63" s="10">
        <v>123.36</v>
      </c>
      <c r="G63">
        <v>7811200</v>
      </c>
      <c r="H63" s="10">
        <f>IF(tbl_QCOM[[#This Row],[Date]]=$A$5, $F63, EMA_Beta*$H62 + (1-EMA_Beta)*$F63)</f>
        <v>124.75409014565201</v>
      </c>
      <c r="I63" s="46">
        <f ca="1">IF(tbl_QCOM[[#This Row],[RS]]= "", "", 100-(100/(1+tbl_QCOM[[#This Row],[RS]])))</f>
        <v>42.372877473854544</v>
      </c>
      <c r="J63" s="10">
        <f ca="1">IF(ROW($N63)-4&lt;BB_Periods, "", AVERAGE(INDIRECT(ADDRESS(ROW($F63)-RSI_Periods +1, MATCH("Adj Close", Price_Header,0))): INDIRECT(ADDRESS(ROW($F63),MATCH("Adj Close", Price_Header,0)))))</f>
        <v>127.21214307142859</v>
      </c>
      <c r="K63" s="10">
        <f ca="1">IF(tbl_QCOM[[#This Row],[BB_Mean]]="", "", tbl_QCOM[[#This Row],[BB_Mean]]+(BB_Width*tbl_QCOM[[#This Row],[BB_Stdev]]))</f>
        <v>131.87982768609447</v>
      </c>
      <c r="L63" s="10">
        <f ca="1">IF(tbl_QCOM[[#This Row],[BB_Mean]]="", "", tbl_QCOM[[#This Row],[BB_Mean]]-(BB_Width*tbl_QCOM[[#This Row],[BB_Stdev]]))</f>
        <v>122.5444584567627</v>
      </c>
      <c r="M63" s="46">
        <f>IF(ROW(tbl_QCOM[[#This Row],[Adj Close]])=5, 0, $F63-$F62)</f>
        <v>-3.0799999999999983</v>
      </c>
      <c r="N63" s="46">
        <f>MAX(tbl_QCOM[[#This Row],[Move]],0)</f>
        <v>0</v>
      </c>
      <c r="O63" s="46">
        <f>MAX(-tbl_QCOM[[#This Row],[Move]],0)</f>
        <v>3.0799999999999983</v>
      </c>
      <c r="P63" s="46">
        <f ca="1">IF(ROW($N63)-5&lt;RSI_Periods, "", AVERAGE(INDIRECT(ADDRESS(ROW($N63)-RSI_Periods +1, MATCH("Upmove", Price_Header,0))): INDIRECT(ADDRESS(ROW($N63),MATCH("Upmove", Price_Header,0)))))</f>
        <v>0.6607142857142857</v>
      </c>
      <c r="Q63" s="46">
        <f ca="1">IF(ROW($O63)-5&lt;RSI_Periods, "", AVERAGE(INDIRECT(ADDRESS(ROW($O63)-RSI_Periods +1, MATCH("Downmove", Price_Header,0))): INDIRECT(ADDRESS(ROW($O63),MATCH("Downmove", Price_Header,0)))))</f>
        <v>0.89857157142857191</v>
      </c>
      <c r="R63" s="46">
        <f ca="1">IF(tbl_QCOM[[#This Row],[Avg_Upmove]]="", "", tbl_QCOM[[#This Row],[Avg_Upmove]]/tbl_QCOM[[#This Row],[Avg_Downmove]])</f>
        <v>0.73529400074817119</v>
      </c>
      <c r="S63" s="10">
        <f ca="1">IF(ROW($N63)-4&lt;BB_Periods, "", _xlfn.STDEV.S(INDIRECT(ADDRESS(ROW($F63)-RSI_Periods +1, MATCH("Adj Close", Price_Header,0))): INDIRECT(ADDRESS(ROW($F63),MATCH("Adj Close", Price_Header,0)))))</f>
        <v>2.3338423073329437</v>
      </c>
    </row>
    <row r="64" spans="1:19" x14ac:dyDescent="0.35">
      <c r="A64" s="8">
        <v>44137</v>
      </c>
      <c r="B64" s="10">
        <v>124.5</v>
      </c>
      <c r="C64" s="10">
        <v>126.17</v>
      </c>
      <c r="D64" s="10">
        <v>122.41</v>
      </c>
      <c r="E64" s="10">
        <v>123.97</v>
      </c>
      <c r="F64" s="10">
        <v>123.97</v>
      </c>
      <c r="G64">
        <v>5860300</v>
      </c>
      <c r="H64" s="10">
        <f>IF(tbl_QCOM[[#This Row],[Date]]=$A$5, $F64, EMA_Beta*$H63 + (1-EMA_Beta)*$F64)</f>
        <v>124.6756811310868</v>
      </c>
      <c r="I64" s="46">
        <f ca="1">IF(tbl_QCOM[[#This Row],[RS]]= "", "", 100-(100/(1+tbl_QCOM[[#This Row],[RS]])))</f>
        <v>41.947396874158564</v>
      </c>
      <c r="J64" s="10">
        <f ca="1">IF(ROW($N64)-4&lt;BB_Periods, "", AVERAGE(INDIRECT(ADDRESS(ROW($F64)-RSI_Periods +1, MATCH("Adj Close", Price_Header,0))): INDIRECT(ADDRESS(ROW($F64),MATCH("Adj Close", Price_Header,0)))))</f>
        <v>126.96285742857143</v>
      </c>
      <c r="K64" s="10">
        <f ca="1">IF(tbl_QCOM[[#This Row],[BB_Mean]]="", "", tbl_QCOM[[#This Row],[BB_Mean]]+(BB_Width*tbl_QCOM[[#This Row],[BB_Stdev]]))</f>
        <v>131.93628563459288</v>
      </c>
      <c r="L64" s="10">
        <f ca="1">IF(tbl_QCOM[[#This Row],[BB_Mean]]="", "", tbl_QCOM[[#This Row],[BB_Mean]]-(BB_Width*tbl_QCOM[[#This Row],[BB_Stdev]]))</f>
        <v>121.98942922254997</v>
      </c>
      <c r="M64" s="46">
        <f>IF(ROW(tbl_QCOM[[#This Row],[Adj Close]])=5, 0, $F64-$F63)</f>
        <v>0.60999999999999943</v>
      </c>
      <c r="N64" s="46">
        <f>MAX(tbl_QCOM[[#This Row],[Move]],0)</f>
        <v>0.60999999999999943</v>
      </c>
      <c r="O64" s="46">
        <f>MAX(-tbl_QCOM[[#This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0.6492859285714293</v>
      </c>
      <c r="Q64" s="46">
        <f ca="1">IF(ROW($O64)-5&lt;RSI_Periods, "", AVERAGE(INDIRECT(ADDRESS(ROW($O64)-RSI_Periods +1, MATCH("Downmove", Price_Header,0))): INDIRECT(ADDRESS(ROW($O64),MATCH("Downmove", Price_Header,0)))))</f>
        <v>0.89857157142857191</v>
      </c>
      <c r="R64" s="46">
        <f ca="1">IF(tbl_QCOM[[#This Row],[Avg_Upmove]]="", "", tbl_QCOM[[#This Row],[Avg_Upmove]]/tbl_QCOM[[#This Row],[Avg_Downmove]])</f>
        <v>0.72257564029004173</v>
      </c>
      <c r="S64" s="10">
        <f ca="1">IF(ROW($N64)-4&lt;BB_Periods, "", _xlfn.STDEV.S(INDIRECT(ADDRESS(ROW($F64)-RSI_Periods +1, MATCH("Adj Close", Price_Header,0))): INDIRECT(ADDRESS(ROW($F64),MATCH("Adj Close", Price_Header,0)))))</f>
        <v>2.4867141030107236</v>
      </c>
    </row>
    <row r="65" spans="1:19" x14ac:dyDescent="0.35">
      <c r="A65" s="8">
        <v>44138</v>
      </c>
      <c r="B65" s="10">
        <v>125.44</v>
      </c>
      <c r="C65" s="10">
        <v>126.92</v>
      </c>
      <c r="D65" s="10">
        <v>124.69</v>
      </c>
      <c r="E65" s="10">
        <v>125.45</v>
      </c>
      <c r="F65" s="10">
        <v>125.45</v>
      </c>
      <c r="G65">
        <v>5832800</v>
      </c>
      <c r="H65" s="10">
        <f>IF(tbl_QCOM[[#This Row],[Date]]=$A$5, $F65, EMA_Beta*$H64 + (1-EMA_Beta)*$F65)</f>
        <v>124.75311301797812</v>
      </c>
      <c r="I65" s="46">
        <f ca="1">IF(tbl_QCOM[[#This Row],[RS]]= "", "", 100-(100/(1+tbl_QCOM[[#This Row],[RS]])))</f>
        <v>39.314989836709579</v>
      </c>
      <c r="J65" s="10">
        <f ca="1">IF(ROW($N65)-4&lt;BB_Periods, "", AVERAGE(INDIRECT(ADDRESS(ROW($F65)-RSI_Periods +1, MATCH("Adj Close", Price_Header,0))): INDIRECT(ADDRESS(ROW($F65),MATCH("Adj Close", Price_Header,0)))))</f>
        <v>126.6464285</v>
      </c>
      <c r="K65" s="10">
        <f ca="1">IF(tbl_QCOM[[#This Row],[BB_Mean]]="", "", tbl_QCOM[[#This Row],[BB_Mean]]+(BB_Width*tbl_QCOM[[#This Row],[BB_Stdev]]))</f>
        <v>131.37818430686778</v>
      </c>
      <c r="L65" s="10">
        <f ca="1">IF(tbl_QCOM[[#This Row],[BB_Mean]]="", "", tbl_QCOM[[#This Row],[BB_Mean]]-(BB_Width*tbl_QCOM[[#This Row],[BB_Stdev]]))</f>
        <v>121.91467269313222</v>
      </c>
      <c r="M65" s="46">
        <f>IF(ROW(tbl_QCOM[[#This Row],[Adj Close]])=5, 0, $F65-$F64)</f>
        <v>1.480000000000004</v>
      </c>
      <c r="N65" s="46">
        <f>MAX(tbl_QCOM[[#This Row],[Move]],0)</f>
        <v>1.480000000000004</v>
      </c>
      <c r="O65" s="46">
        <f>MAX(-tbl_QCOM[[#This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0.58214264285714279</v>
      </c>
      <c r="Q65" s="46">
        <f ca="1">IF(ROW($O65)-5&lt;RSI_Periods, "", AVERAGE(INDIRECT(ADDRESS(ROW($O65)-RSI_Periods +1, MATCH("Downmove", Price_Header,0))): INDIRECT(ADDRESS(ROW($O65),MATCH("Downmove", Price_Header,0)))))</f>
        <v>0.89857157142857191</v>
      </c>
      <c r="R65" s="46">
        <f ca="1">IF(tbl_QCOM[[#This Row],[Avg_Upmove]]="", "", tbl_QCOM[[#This Row],[Avg_Upmove]]/tbl_QCOM[[#This Row],[Avg_Downmove]])</f>
        <v>0.64785339461790181</v>
      </c>
      <c r="S65" s="10">
        <f ca="1">IF(ROW($N65)-4&lt;BB_Periods, "", _xlfn.STDEV.S(INDIRECT(ADDRESS(ROW($F65)-RSI_Periods +1, MATCH("Adj Close", Price_Header,0))): INDIRECT(ADDRESS(ROW($F65),MATCH("Adj Close", Price_Header,0)))))</f>
        <v>2.3658779034338897</v>
      </c>
    </row>
    <row r="66" spans="1:19" x14ac:dyDescent="0.35">
      <c r="A66" s="8">
        <v>44139</v>
      </c>
      <c r="B66" s="10">
        <v>129.32</v>
      </c>
      <c r="C66" s="10">
        <v>129.57</v>
      </c>
      <c r="D66" s="10">
        <v>126.07</v>
      </c>
      <c r="E66" s="10">
        <v>128.97</v>
      </c>
      <c r="F66" s="10">
        <v>128.97</v>
      </c>
      <c r="G66">
        <v>12608900</v>
      </c>
      <c r="H66" s="10">
        <f>IF(tbl_QCOM[[#This Row],[Date]]=$A$5, $F66, EMA_Beta*$H65 + (1-EMA_Beta)*$F66)</f>
        <v>125.1748017161803</v>
      </c>
      <c r="I66" s="46">
        <f ca="1">IF(tbl_QCOM[[#This Row],[RS]]= "", "", 100-(100/(1+tbl_QCOM[[#This Row],[RS]])))</f>
        <v>50.84966899340634</v>
      </c>
      <c r="J66" s="10">
        <f ca="1">IF(ROW($N66)-4&lt;BB_Periods, "", AVERAGE(INDIRECT(ADDRESS(ROW($F66)-RSI_Periods +1, MATCH("Adj Close", Price_Header,0))): INDIRECT(ADDRESS(ROW($F66),MATCH("Adj Close", Price_Header,0)))))</f>
        <v>126.67428550000001</v>
      </c>
      <c r="K66" s="10">
        <f ca="1">IF(tbl_QCOM[[#This Row],[BB_Mean]]="", "", tbl_QCOM[[#This Row],[BB_Mean]]+(BB_Width*tbl_QCOM[[#This Row],[BB_Stdev]]))</f>
        <v>131.45936909103457</v>
      </c>
      <c r="L66" s="10">
        <f ca="1">IF(tbl_QCOM[[#This Row],[BB_Mean]]="", "", tbl_QCOM[[#This Row],[BB_Mean]]-(BB_Width*tbl_QCOM[[#This Row],[BB_Stdev]]))</f>
        <v>121.88920190896545</v>
      </c>
      <c r="M66" s="46">
        <f>IF(ROW(tbl_QCOM[[#This Row],[Adj Close]])=5, 0, $F66-$F65)</f>
        <v>3.519999999999996</v>
      </c>
      <c r="N66" s="46">
        <f>MAX(tbl_QCOM[[#This Row],[Move]],0)</f>
        <v>3.519999999999996</v>
      </c>
      <c r="O66" s="46">
        <f>MAX(-tbl_QCOM[[#This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0.8335712142857139</v>
      </c>
      <c r="Q66" s="46">
        <f ca="1">IF(ROW($O66)-5&lt;RSI_Periods, "", AVERAGE(INDIRECT(ADDRESS(ROW($O66)-RSI_Periods +1, MATCH("Downmove", Price_Header,0))): INDIRECT(ADDRESS(ROW($O66),MATCH("Downmove", Price_Header,0)))))</f>
        <v>0.80571421428571455</v>
      </c>
      <c r="R66" s="46">
        <f ca="1">IF(tbl_QCOM[[#This Row],[Avg_Upmove]]="", "", tbl_QCOM[[#This Row],[Avg_Upmove]]/tbl_QCOM[[#This Row],[Avg_Downmove]])</f>
        <v>1.034574293845238</v>
      </c>
      <c r="S66" s="10">
        <f ca="1">IF(ROW($N66)-4&lt;BB_Periods, "", _xlfn.STDEV.S(INDIRECT(ADDRESS(ROW($F66)-RSI_Periods +1, MATCH("Adj Close", Price_Header,0))): INDIRECT(ADDRESS(ROW($F66),MATCH("Adj Close", Price_Header,0)))))</f>
        <v>2.3925417955172787</v>
      </c>
    </row>
    <row r="67" spans="1:19" x14ac:dyDescent="0.35">
      <c r="A67" s="8">
        <v>44140</v>
      </c>
      <c r="B67" s="10">
        <v>145.82</v>
      </c>
      <c r="C67" s="10">
        <v>148.80000000000001</v>
      </c>
      <c r="D67" s="10">
        <v>141.83000000000001</v>
      </c>
      <c r="E67" s="10">
        <v>145.41</v>
      </c>
      <c r="F67" s="10">
        <v>145.41</v>
      </c>
      <c r="G67">
        <v>27910900</v>
      </c>
      <c r="H67" s="10">
        <f>IF(tbl_QCOM[[#This Row],[Date]]=$A$5, $F67, EMA_Beta*$H66 + (1-EMA_Beta)*$F67)</f>
        <v>127.19832154456226</v>
      </c>
      <c r="I67" s="46">
        <f ca="1">IF(tbl_QCOM[[#This Row],[RS]]= "", "", 100-(100/(1+tbl_QCOM[[#This Row],[RS]])))</f>
        <v>71.032359297184357</v>
      </c>
      <c r="J67" s="10">
        <f ca="1">IF(ROW($N67)-4&lt;BB_Periods, "", AVERAGE(INDIRECT(ADDRESS(ROW($F67)-RSI_Periods +1, MATCH("Adj Close", Price_Header,0))): INDIRECT(ADDRESS(ROW($F67),MATCH("Adj Close", Price_Header,0)))))</f>
        <v>127.84428557142859</v>
      </c>
      <c r="K67" s="10">
        <f ca="1">IF(tbl_QCOM[[#This Row],[BB_Mean]]="", "", tbl_QCOM[[#This Row],[BB_Mean]]+(BB_Width*tbl_QCOM[[#This Row],[BB_Stdev]]))</f>
        <v>138.94838516855299</v>
      </c>
      <c r="L67" s="10">
        <f ca="1">IF(tbl_QCOM[[#This Row],[BB_Mean]]="", "", tbl_QCOM[[#This Row],[BB_Mean]]-(BB_Width*tbl_QCOM[[#This Row],[BB_Stdev]]))</f>
        <v>116.74018597430418</v>
      </c>
      <c r="M67" s="46">
        <f>IF(ROW(tbl_QCOM[[#This Row],[Adj Close]])=5, 0, $F67-$F66)</f>
        <v>16.439999999999998</v>
      </c>
      <c r="N67" s="46">
        <f>MAX(tbl_QCOM[[#This Row],[Move]],0)</f>
        <v>16.439999999999998</v>
      </c>
      <c r="O67" s="46">
        <f>MAX(-tbl_QCOM[[#This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1.9757142857142855</v>
      </c>
      <c r="Q67" s="46">
        <f ca="1">IF(ROW($O67)-5&lt;RSI_Periods, "", AVERAGE(INDIRECT(ADDRESS(ROW($O67)-RSI_Periods +1, MATCH("Downmove", Price_Header,0))): INDIRECT(ADDRESS(ROW($O67),MATCH("Downmove", Price_Header,0)))))</f>
        <v>0.80571421428571455</v>
      </c>
      <c r="R67" s="46">
        <f ca="1">IF(tbl_QCOM[[#This Row],[Avg_Upmove]]="", "", tbl_QCOM[[#This Row],[Avg_Upmove]]/tbl_QCOM[[#This Row],[Avg_Downmove]])</f>
        <v>2.4521278769616903</v>
      </c>
      <c r="S67" s="10">
        <f ca="1">IF(ROW($N67)-4&lt;BB_Periods, "", _xlfn.STDEV.S(INDIRECT(ADDRESS(ROW($F67)-RSI_Periods +1, MATCH("Adj Close", Price_Header,0))): INDIRECT(ADDRESS(ROW($F67),MATCH("Adj Close", Price_Header,0)))))</f>
        <v>5.5520497985621997</v>
      </c>
    </row>
    <row r="68" spans="1:19" x14ac:dyDescent="0.35">
      <c r="A68" s="8">
        <v>44141</v>
      </c>
      <c r="B68" s="10">
        <v>146.01</v>
      </c>
      <c r="C68" s="10">
        <v>146.22999999999999</v>
      </c>
      <c r="D68" s="10">
        <v>143.96</v>
      </c>
      <c r="E68" s="10">
        <v>145.01</v>
      </c>
      <c r="F68" s="10">
        <v>145.01</v>
      </c>
      <c r="G68">
        <v>7278500</v>
      </c>
      <c r="H68" s="10">
        <f>IF(tbl_QCOM[[#This Row],[Date]]=$A$5, $F68, EMA_Beta*$H67 + (1-EMA_Beta)*$F68)</f>
        <v>128.97948939010604</v>
      </c>
      <c r="I68" s="46">
        <f ca="1">IF(tbl_QCOM[[#This Row],[RS]]= "", "", 100-(100/(1+tbl_QCOM[[#This Row],[RS]])))</f>
        <v>71.417509497418521</v>
      </c>
      <c r="J68" s="10">
        <f ca="1">IF(ROW($N68)-4&lt;BB_Periods, "", AVERAGE(INDIRECT(ADDRESS(ROW($F68)-RSI_Periods +1, MATCH("Adj Close", Price_Header,0))): INDIRECT(ADDRESS(ROW($F68),MATCH("Adj Close", Price_Header,0)))))</f>
        <v>129.02928571428572</v>
      </c>
      <c r="K68" s="10">
        <f ca="1">IF(tbl_QCOM[[#This Row],[BB_Mean]]="", "", tbl_QCOM[[#This Row],[BB_Mean]]+(BB_Width*tbl_QCOM[[#This Row],[BB_Stdev]]))</f>
        <v>143.44508359617311</v>
      </c>
      <c r="L68" s="10">
        <f ca="1">IF(tbl_QCOM[[#This Row],[BB_Mean]]="", "", tbl_QCOM[[#This Row],[BB_Mean]]-(BB_Width*tbl_QCOM[[#This Row],[BB_Stdev]]))</f>
        <v>114.61348783239835</v>
      </c>
      <c r="M68" s="46">
        <f>IF(ROW(tbl_QCOM[[#This Row],[Adj Close]])=5, 0, $F68-$F67)</f>
        <v>-0.40000000000000568</v>
      </c>
      <c r="N68" s="46">
        <f>MAX(tbl_QCOM[[#This Row],[Move]],0)</f>
        <v>0</v>
      </c>
      <c r="O68" s="46">
        <f>MAX(-tbl_QCOM[[#This Row],[Move]],0)</f>
        <v>0.40000000000000568</v>
      </c>
      <c r="P68" s="46">
        <f ca="1">IF(ROW($N68)-5&lt;RSI_Periods, "", AVERAGE(INDIRECT(ADDRESS(ROW($N68)-RSI_Periods +1, MATCH("Upmove", Price_Header,0))): INDIRECT(ADDRESS(ROW($N68),MATCH("Upmove", Price_Header,0)))))</f>
        <v>1.9757142857142855</v>
      </c>
      <c r="Q68" s="46">
        <f ca="1">IF(ROW($O68)-5&lt;RSI_Periods, "", AVERAGE(INDIRECT(ADDRESS(ROW($O68)-RSI_Periods +1, MATCH("Downmove", Price_Header,0))): INDIRECT(ADDRESS(ROW($O68),MATCH("Downmove", Price_Header,0)))))</f>
        <v>0.7907141428571427</v>
      </c>
      <c r="R68" s="46">
        <f ca="1">IF(tbl_QCOM[[#This Row],[Avg_Upmove]]="", "", tbl_QCOM[[#This Row],[Avg_Upmove]]/tbl_QCOM[[#This Row],[Avg_Downmove]])</f>
        <v>2.4986454378763217</v>
      </c>
      <c r="S68" s="10">
        <f ca="1">IF(ROW($N68)-4&lt;BB_Periods, "", _xlfn.STDEV.S(INDIRECT(ADDRESS(ROW($F68)-RSI_Periods +1, MATCH("Adj Close", Price_Header,0))): INDIRECT(ADDRESS(ROW($F68),MATCH("Adj Close", Price_Header,0)))))</f>
        <v>7.2078989409436858</v>
      </c>
    </row>
    <row r="69" spans="1:19" x14ac:dyDescent="0.35">
      <c r="A69" s="8">
        <v>44144</v>
      </c>
      <c r="B69" s="10">
        <v>149.41</v>
      </c>
      <c r="C69" s="10">
        <v>149.41</v>
      </c>
      <c r="D69" s="10">
        <v>142.44</v>
      </c>
      <c r="E69" s="10">
        <v>142.61000000000001</v>
      </c>
      <c r="F69" s="10">
        <v>142.61000000000001</v>
      </c>
      <c r="G69">
        <v>10666300</v>
      </c>
      <c r="H69" s="10">
        <f>IF(tbl_QCOM[[#This Row],[Date]]=$A$5, $F69, EMA_Beta*$H68 + (1-EMA_Beta)*$F69)</f>
        <v>130.34254045109543</v>
      </c>
      <c r="I69" s="46">
        <f ca="1">IF(tbl_QCOM[[#This Row],[RS]]= "", "", 100-(100/(1+tbl_QCOM[[#This Row],[RS]])))</f>
        <v>67.446964155084132</v>
      </c>
      <c r="J69" s="10">
        <f ca="1">IF(ROW($N69)-4&lt;BB_Periods, "", AVERAGE(INDIRECT(ADDRESS(ROW($F69)-RSI_Periods +1, MATCH("Adj Close", Price_Header,0))): INDIRECT(ADDRESS(ROW($F69),MATCH("Adj Close", Price_Header,0)))))</f>
        <v>130.0514285714286</v>
      </c>
      <c r="K69" s="10">
        <f ca="1">IF(tbl_QCOM[[#This Row],[BB_Mean]]="", "", tbl_QCOM[[#This Row],[BB_Mean]]+(BB_Width*tbl_QCOM[[#This Row],[BB_Stdev]]))</f>
        <v>146.17285789753004</v>
      </c>
      <c r="L69" s="10">
        <f ca="1">IF(tbl_QCOM[[#This Row],[BB_Mean]]="", "", tbl_QCOM[[#This Row],[BB_Mean]]-(BB_Width*tbl_QCOM[[#This Row],[BB_Stdev]]))</f>
        <v>113.92999924532717</v>
      </c>
      <c r="M69" s="46">
        <f>IF(ROW(tbl_QCOM[[#This Row],[Adj Close]])=5, 0, $F69-$F68)</f>
        <v>-2.3999999999999773</v>
      </c>
      <c r="N69" s="46">
        <f>MAX(tbl_QCOM[[#This Row],[Move]],0)</f>
        <v>0</v>
      </c>
      <c r="O69" s="46">
        <f>MAX(-tbl_QCOM[[#This Row],[Move]],0)</f>
        <v>2.3999999999999773</v>
      </c>
      <c r="P69" s="46">
        <f ca="1">IF(ROW($N69)-5&lt;RSI_Periods, "", AVERAGE(INDIRECT(ADDRESS(ROW($N69)-RSI_Periods +1, MATCH("Upmove", Price_Header,0))): INDIRECT(ADDRESS(ROW($N69),MATCH("Upmove", Price_Header,0)))))</f>
        <v>1.9757142857142855</v>
      </c>
      <c r="Q69" s="46">
        <f ca="1">IF(ROW($O69)-5&lt;RSI_Periods, "", AVERAGE(INDIRECT(ADDRESS(ROW($O69)-RSI_Periods +1, MATCH("Downmove", Price_Header,0))): INDIRECT(ADDRESS(ROW($O69),MATCH("Downmove", Price_Header,0)))))</f>
        <v>0.95357142857142818</v>
      </c>
      <c r="R69" s="46">
        <f ca="1">IF(tbl_QCOM[[#This Row],[Avg_Upmove]]="", "", tbl_QCOM[[#This Row],[Avg_Upmove]]/tbl_QCOM[[#This Row],[Avg_Downmove]])</f>
        <v>2.0719101123595514</v>
      </c>
      <c r="S69" s="10">
        <f ca="1">IF(ROW($N69)-4&lt;BB_Periods, "", _xlfn.STDEV.S(INDIRECT(ADDRESS(ROW($F69)-RSI_Periods +1, MATCH("Adj Close", Price_Header,0))): INDIRECT(ADDRESS(ROW($F69),MATCH("Adj Close", Price_Header,0)))))</f>
        <v>8.0607146630507192</v>
      </c>
    </row>
    <row r="70" spans="1:19" x14ac:dyDescent="0.35">
      <c r="A70" s="8">
        <v>44145</v>
      </c>
      <c r="B70" s="10">
        <v>140.15</v>
      </c>
      <c r="C70" s="10">
        <v>143.16999999999999</v>
      </c>
      <c r="D70" s="10">
        <v>138.53</v>
      </c>
      <c r="E70" s="10">
        <v>140.11000000000001</v>
      </c>
      <c r="F70" s="10">
        <v>140.11000000000001</v>
      </c>
      <c r="G70">
        <v>12019900</v>
      </c>
      <c r="H70" s="10">
        <f>IF(tbl_QCOM[[#This Row],[Date]]=$A$5, $F70, EMA_Beta*$H69 + (1-EMA_Beta)*$F70)</f>
        <v>131.31928640598591</v>
      </c>
      <c r="I70" s="46">
        <f ca="1">IF(tbl_QCOM[[#This Row],[RS]]= "", "", 100-(100/(1+tbl_QCOM[[#This Row],[RS]])))</f>
        <v>63.361072584373566</v>
      </c>
      <c r="J70" s="10">
        <f ca="1">IF(ROW($N70)-4&lt;BB_Periods, "", AVERAGE(INDIRECT(ADDRESS(ROW($F70)-RSI_Periods +1, MATCH("Adj Close", Price_Header,0))): INDIRECT(ADDRESS(ROW($F70),MATCH("Adj Close", Price_Header,0)))))</f>
        <v>130.87714285714287</v>
      </c>
      <c r="K70" s="10">
        <f ca="1">IF(tbl_QCOM[[#This Row],[BB_Mean]]="", "", tbl_QCOM[[#This Row],[BB_Mean]]+(BB_Width*tbl_QCOM[[#This Row],[BB_Stdev]]))</f>
        <v>147.83003583208318</v>
      </c>
      <c r="L70" s="10">
        <f ca="1">IF(tbl_QCOM[[#This Row],[BB_Mean]]="", "", tbl_QCOM[[#This Row],[BB_Mean]]-(BB_Width*tbl_QCOM[[#This Row],[BB_Stdev]]))</f>
        <v>113.92424988220256</v>
      </c>
      <c r="M70" s="46">
        <f>IF(ROW(tbl_QCOM[[#This Row],[Adj Close]])=5, 0, $F70-$F69)</f>
        <v>-2.5</v>
      </c>
      <c r="N70" s="46">
        <f>MAX(tbl_QCOM[[#This Row],[Move]],0)</f>
        <v>0</v>
      </c>
      <c r="O70" s="46">
        <f>MAX(-tbl_QCOM[[#This Row],[Move]],0)</f>
        <v>2.5</v>
      </c>
      <c r="P70" s="46">
        <f ca="1">IF(ROW($N70)-5&lt;RSI_Periods, "", AVERAGE(INDIRECT(ADDRESS(ROW($N70)-RSI_Periods +1, MATCH("Upmove", Price_Header,0))): INDIRECT(ADDRESS(ROW($N70),MATCH("Upmove", Price_Header,0)))))</f>
        <v>1.9578571428571425</v>
      </c>
      <c r="Q70" s="46">
        <f ca="1">IF(ROW($O70)-5&lt;RSI_Periods, "", AVERAGE(INDIRECT(ADDRESS(ROW($O70)-RSI_Periods +1, MATCH("Downmove", Price_Header,0))): INDIRECT(ADDRESS(ROW($O70),MATCH("Downmove", Price_Header,0)))))</f>
        <v>1.1321428571428567</v>
      </c>
      <c r="R70" s="46">
        <f ca="1">IF(tbl_QCOM[[#This Row],[Avg_Upmove]]="", "", tbl_QCOM[[#This Row],[Avg_Upmove]]/tbl_QCOM[[#This Row],[Avg_Downmove]])</f>
        <v>1.7293375394321771</v>
      </c>
      <c r="S70" s="10">
        <f ca="1">IF(ROW($N70)-4&lt;BB_Periods, "", _xlfn.STDEV.S(INDIRECT(ADDRESS(ROW($F70)-RSI_Periods +1, MATCH("Adj Close", Price_Header,0))): INDIRECT(ADDRESS(ROW($F70),MATCH("Adj Close", Price_Header,0)))))</f>
        <v>8.4764464874701524</v>
      </c>
    </row>
    <row r="71" spans="1:19" x14ac:dyDescent="0.35">
      <c r="A71" s="8">
        <v>44146</v>
      </c>
      <c r="B71" s="10">
        <v>144.5</v>
      </c>
      <c r="C71" s="10">
        <v>148.09</v>
      </c>
      <c r="D71" s="10">
        <v>144</v>
      </c>
      <c r="E71" s="10">
        <v>147.69</v>
      </c>
      <c r="F71" s="10">
        <v>147.69</v>
      </c>
      <c r="G71">
        <v>10222700</v>
      </c>
      <c r="H71" s="10">
        <f>IF(tbl_QCOM[[#This Row],[Date]]=$A$5, $F71, EMA_Beta*$H70 + (1-EMA_Beta)*$F71)</f>
        <v>132.95635776538731</v>
      </c>
      <c r="I71" s="46">
        <f ca="1">IF(tbl_QCOM[[#This Row],[RS]]= "", "", 100-(100/(1+tbl_QCOM[[#This Row],[RS]])))</f>
        <v>69.054667456088424</v>
      </c>
      <c r="J71" s="10">
        <f ca="1">IF(ROW($N71)-4&lt;BB_Periods, "", AVERAGE(INDIRECT(ADDRESS(ROW($F71)-RSI_Periods +1, MATCH("Adj Close", Price_Header,0))): INDIRECT(ADDRESS(ROW($F71),MATCH("Adj Close", Price_Header,0)))))</f>
        <v>132.25642857142859</v>
      </c>
      <c r="K71" s="10">
        <f ca="1">IF(tbl_QCOM[[#This Row],[BB_Mean]]="", "", tbl_QCOM[[#This Row],[BB_Mean]]+(BB_Width*tbl_QCOM[[#This Row],[BB_Stdev]]))</f>
        <v>151.3421003733817</v>
      </c>
      <c r="L71" s="10">
        <f ca="1">IF(tbl_QCOM[[#This Row],[BB_Mean]]="", "", tbl_QCOM[[#This Row],[BB_Mean]]-(BB_Width*tbl_QCOM[[#This Row],[BB_Stdev]]))</f>
        <v>113.17075676947547</v>
      </c>
      <c r="M71" s="46">
        <f>IF(ROW(tbl_QCOM[[#This Row],[Adj Close]])=5, 0, $F71-$F70)</f>
        <v>7.5799999999999841</v>
      </c>
      <c r="N71" s="46">
        <f>MAX(tbl_QCOM[[#This Row],[Move]],0)</f>
        <v>7.5799999999999841</v>
      </c>
      <c r="O71" s="46">
        <f>MAX(-tbl_QCOM[[#This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2.4992857142857128</v>
      </c>
      <c r="Q71" s="46">
        <f ca="1">IF(ROW($O71)-5&lt;RSI_Periods, "", AVERAGE(INDIRECT(ADDRESS(ROW($O71)-RSI_Periods +1, MATCH("Downmove", Price_Header,0))): INDIRECT(ADDRESS(ROW($O71),MATCH("Downmove", Price_Header,0)))))</f>
        <v>1.1199999999999986</v>
      </c>
      <c r="R71" s="46">
        <f ca="1">IF(tbl_QCOM[[#This Row],[Avg_Upmove]]="", "", tbl_QCOM[[#This Row],[Avg_Upmove]]/tbl_QCOM[[#This Row],[Avg_Downmove]])</f>
        <v>2.2315051020408179</v>
      </c>
      <c r="S71" s="10">
        <f ca="1">IF(ROW($N71)-4&lt;BB_Periods, "", _xlfn.STDEV.S(INDIRECT(ADDRESS(ROW($F71)-RSI_Periods +1, MATCH("Adj Close", Price_Header,0))): INDIRECT(ADDRESS(ROW($F71),MATCH("Adj Close", Price_Header,0)))))</f>
        <v>9.5428359009765575</v>
      </c>
    </row>
    <row r="72" spans="1:19" x14ac:dyDescent="0.35">
      <c r="A72" s="8">
        <v>44147</v>
      </c>
      <c r="B72" s="10">
        <v>147.57</v>
      </c>
      <c r="C72" s="10">
        <v>148.51</v>
      </c>
      <c r="D72" s="10">
        <v>143.07</v>
      </c>
      <c r="E72" s="10">
        <v>143.91</v>
      </c>
      <c r="F72" s="10">
        <v>143.91</v>
      </c>
      <c r="G72">
        <v>8580700</v>
      </c>
      <c r="H72" s="10">
        <f>IF(tbl_QCOM[[#This Row],[Date]]=$A$5, $F72, EMA_Beta*$H71 + (1-EMA_Beta)*$F72)</f>
        <v>134.05172198884858</v>
      </c>
      <c r="I72" s="46">
        <f ca="1">IF(tbl_QCOM[[#This Row],[RS]]= "", "", 100-(100/(1+tbl_QCOM[[#This Row],[RS]])))</f>
        <v>63.929564411492137</v>
      </c>
      <c r="J72" s="10">
        <f ca="1">IF(ROW($N72)-4&lt;BB_Periods, "", AVERAGE(INDIRECT(ADDRESS(ROW($F72)-RSI_Periods +1, MATCH("Adj Close", Price_Header,0))): INDIRECT(ADDRESS(ROW($F72),MATCH("Adj Close", Price_Header,0)))))</f>
        <v>133.33000000000004</v>
      </c>
      <c r="K72" s="10">
        <f ca="1">IF(tbl_QCOM[[#This Row],[BB_Mean]]="", "", tbl_QCOM[[#This Row],[BB_Mean]]+(BB_Width*tbl_QCOM[[#This Row],[BB_Stdev]]))</f>
        <v>153.26932334319841</v>
      </c>
      <c r="L72" s="10">
        <f ca="1">IF(tbl_QCOM[[#This Row],[BB_Mean]]="", "", tbl_QCOM[[#This Row],[BB_Mean]]-(BB_Width*tbl_QCOM[[#This Row],[BB_Stdev]]))</f>
        <v>113.39067665680167</v>
      </c>
      <c r="M72" s="46">
        <f>IF(ROW(tbl_QCOM[[#This Row],[Adj Close]])=5, 0, $F72-$F71)</f>
        <v>-3.7800000000000011</v>
      </c>
      <c r="N72" s="46">
        <f>MAX(tbl_QCOM[[#This Row],[Move]],0)</f>
        <v>0</v>
      </c>
      <c r="O72" s="46">
        <f>MAX(-tbl_QCOM[[#This Row],[Move]],0)</f>
        <v>3.7800000000000011</v>
      </c>
      <c r="P72" s="46">
        <f ca="1">IF(ROW($N72)-5&lt;RSI_Periods, "", AVERAGE(INDIRECT(ADDRESS(ROW($N72)-RSI_Periods +1, MATCH("Upmove", Price_Header,0))): INDIRECT(ADDRESS(ROW($N72),MATCH("Upmove", Price_Header,0)))))</f>
        <v>2.4635714285714272</v>
      </c>
      <c r="Q72" s="46">
        <f ca="1">IF(ROW($O72)-5&lt;RSI_Periods, "", AVERAGE(INDIRECT(ADDRESS(ROW($O72)-RSI_Periods +1, MATCH("Downmove", Price_Header,0))): INDIRECT(ADDRESS(ROW($O72),MATCH("Downmove", Price_Header,0)))))</f>
        <v>1.3899999999999986</v>
      </c>
      <c r="R72" s="46">
        <f ca="1">IF(tbl_QCOM[[#This Row],[Avg_Upmove]]="", "", tbl_QCOM[[#This Row],[Avg_Upmove]]/tbl_QCOM[[#This Row],[Avg_Downmove]])</f>
        <v>1.7723535457348416</v>
      </c>
      <c r="S72" s="10">
        <f ca="1">IF(ROW($N72)-4&lt;BB_Periods, "", _xlfn.STDEV.S(INDIRECT(ADDRESS(ROW($F72)-RSI_Periods +1, MATCH("Adj Close", Price_Header,0))): INDIRECT(ADDRESS(ROW($F72),MATCH("Adj Close", Price_Header,0)))))</f>
        <v>9.9696616715991855</v>
      </c>
    </row>
    <row r="73" spans="1:19" x14ac:dyDescent="0.35">
      <c r="A73" s="8">
        <v>44148</v>
      </c>
      <c r="B73" s="10">
        <v>145.54</v>
      </c>
      <c r="C73" s="10">
        <v>146.25</v>
      </c>
      <c r="D73" s="10">
        <v>144.65</v>
      </c>
      <c r="E73" s="10">
        <v>145.07</v>
      </c>
      <c r="F73" s="10">
        <v>145.07</v>
      </c>
      <c r="G73">
        <v>1365406</v>
      </c>
      <c r="H73" s="10">
        <f>IF(tbl_QCOM[[#This Row],[Date]]=$A$5, $F73, EMA_Beta*$H72 + (1-EMA_Beta)*$F73)</f>
        <v>135.15354978996373</v>
      </c>
      <c r="I73" s="46">
        <f ca="1">IF(tbl_QCOM[[#This Row],[RS]]= "", "", 100-(100/(1+tbl_QCOM[[#This Row],[RS]])))</f>
        <v>67.995422468052652</v>
      </c>
      <c r="J73" s="10">
        <f ca="1">IF(ROW($N73)-4&lt;BB_Periods, "", AVERAGE(INDIRECT(ADDRESS(ROW($F73)-RSI_Periods +1, MATCH("Adj Close", Price_Header,0))): INDIRECT(ADDRESS(ROW($F73),MATCH("Adj Close", Price_Header,0)))))</f>
        <v>134.67785714285716</v>
      </c>
      <c r="K73" s="10">
        <f ca="1">IF(tbl_QCOM[[#This Row],[BB_Mean]]="", "", tbl_QCOM[[#This Row],[BB_Mean]]+(BB_Width*tbl_QCOM[[#This Row],[BB_Stdev]]))</f>
        <v>155.08660817473853</v>
      </c>
      <c r="L73" s="10">
        <f ca="1">IF(tbl_QCOM[[#This Row],[BB_Mean]]="", "", tbl_QCOM[[#This Row],[BB_Mean]]-(BB_Width*tbl_QCOM[[#This Row],[BB_Stdev]]))</f>
        <v>114.2691061109758</v>
      </c>
      <c r="M73" s="46">
        <f>IF(ROW(tbl_QCOM[[#This Row],[Adj Close]])=5, 0, $F73-$F72)</f>
        <v>1.1599999999999966</v>
      </c>
      <c r="N73" s="46">
        <f>MAX(tbl_QCOM[[#This Row],[Move]],0)</f>
        <v>1.1599999999999966</v>
      </c>
      <c r="O73" s="46">
        <f>MAX(-tbl_QCOM[[#This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2.5464285714285699</v>
      </c>
      <c r="Q73" s="46">
        <f ca="1">IF(ROW($O73)-5&lt;RSI_Periods, "", AVERAGE(INDIRECT(ADDRESS(ROW($O73)-RSI_Periods +1, MATCH("Downmove", Price_Header,0))): INDIRECT(ADDRESS(ROW($O73),MATCH("Downmove", Price_Header,0)))))</f>
        <v>1.1985714285714277</v>
      </c>
      <c r="R73" s="46">
        <f ca="1">IF(tbl_QCOM[[#This Row],[Avg_Upmove]]="", "", tbl_QCOM[[#This Row],[Avg_Upmove]]/tbl_QCOM[[#This Row],[Avg_Downmove]])</f>
        <v>2.1245530393325391</v>
      </c>
      <c r="S73" s="10">
        <f ca="1">IF(ROW($N73)-4&lt;BB_Periods, "", _xlfn.STDEV.S(INDIRECT(ADDRESS(ROW($F73)-RSI_Periods +1, MATCH("Adj Close", Price_Header,0))): INDIRECT(ADDRESS(ROW($F73),MATCH("Adj Close", Price_Header,0)))))</f>
        <v>10.204375515940683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SUBTOTAL(103,tbl_QCOM[BB_Stdev])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74"/>
  <sheetViews>
    <sheetView topLeftCell="B63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333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6.91</v>
      </c>
      <c r="C5" s="10">
        <v>7.13</v>
      </c>
      <c r="D5" s="10">
        <v>6.91</v>
      </c>
      <c r="E5" s="10">
        <v>7.09</v>
      </c>
      <c r="F5" s="10">
        <v>7.09</v>
      </c>
      <c r="G5">
        <v>57229000</v>
      </c>
      <c r="H5" s="10">
        <f>IF(tbl_F[[#This Row],[Date]]=$A$5, $F5, EMA_Beta*$H4 + (1-EMA_Beta)*$F5)</f>
        <v>7.09</v>
      </c>
      <c r="I5" s="46" t="str">
        <f ca="1">IF(tbl_F[[#This Row],[RS]]= "", "", 100-(100/(1+tbl_F[[#This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IF(tbl_F[[#This Row],[BB_Mean]]="", "", tbl_F[[#This Row],[BB_Mean]]+(BB_Width*tbl_F[[#This Row],[BB_Stdev]]))</f>
        <v/>
      </c>
      <c r="L5" s="10" t="str">
        <f ca="1">IF(tbl_F[[#This Row],[BB_Mean]]="", "", tbl_F[[#This Row],[BB_Mean]]-(BB_Width*tbl_F[[#This Row],[BB_Stdev]]))</f>
        <v/>
      </c>
      <c r="M5" s="46">
        <f>IF(ROW(tbl_F[[#This Row],[Adj Close]])=5, 0, $F5-$F4)</f>
        <v>0</v>
      </c>
      <c r="N5" s="46">
        <f>MAX(tbl_F[[#This Row],[Move]],0)</f>
        <v>0</v>
      </c>
      <c r="O5" s="46">
        <f>MAX(-tbl_F[[#This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IF(tbl_F[[#This Row],[Avg_Upmove]]="", "", tbl_F[[#This Row],[Avg_Upmove]]/tbl_F[[#This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7.21</v>
      </c>
      <c r="C6" s="10">
        <v>7.38</v>
      </c>
      <c r="D6" s="10">
        <v>7.19</v>
      </c>
      <c r="E6" s="10">
        <v>7.23</v>
      </c>
      <c r="F6" s="10">
        <v>7.23</v>
      </c>
      <c r="G6">
        <v>74016400</v>
      </c>
      <c r="H6" s="10">
        <f>IF(tbl_F[[#This Row],[Date]]=$A$5, $F6, EMA_Beta*$H5 + (1-EMA_Beta)*$F6)</f>
        <v>7.1040000000000001</v>
      </c>
      <c r="I6" s="46" t="str">
        <f ca="1">IF(tbl_F[[#This Row],[RS]]= "", "", 100-(100/(1+tbl_F[[#This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IF(tbl_F[[#This Row],[BB_Mean]]="", "", tbl_F[[#This Row],[BB_Mean]]+(BB_Width*tbl_F[[#This Row],[BB_Stdev]]))</f>
        <v/>
      </c>
      <c r="L6" s="10" t="str">
        <f ca="1">IF(tbl_F[[#This Row],[BB_Mean]]="", "", tbl_F[[#This Row],[BB_Mean]]-(BB_Width*tbl_F[[#This Row],[BB_Stdev]]))</f>
        <v/>
      </c>
      <c r="M6" s="46">
        <f>IF(ROW(tbl_F[[#This Row],[Adj Close]])=5, 0, $F6-$F5)</f>
        <v>0.14000000000000057</v>
      </c>
      <c r="N6" s="46">
        <f>MAX(tbl_F[[#This Row],[Move]],0)</f>
        <v>0.14000000000000057</v>
      </c>
      <c r="O6" s="46">
        <f>MAX(-tbl_F[[#This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IF(tbl_F[[#This Row],[Avg_Upmove]]="", "", tbl_F[[#This Row],[Avg_Upmove]]/tbl_F[[#This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7.33</v>
      </c>
      <c r="C7" s="10">
        <v>7.37</v>
      </c>
      <c r="D7" s="10">
        <v>7.06</v>
      </c>
      <c r="E7" s="10">
        <v>7.11</v>
      </c>
      <c r="F7" s="10">
        <v>7.11</v>
      </c>
      <c r="G7">
        <v>59194100</v>
      </c>
      <c r="H7" s="10">
        <f>IF(tbl_F[[#This Row],[Date]]=$A$5, $F7, EMA_Beta*$H6 + (1-EMA_Beta)*$F7)</f>
        <v>7.1045999999999996</v>
      </c>
      <c r="I7" s="46" t="str">
        <f ca="1">IF(tbl_F[[#This Row],[RS]]= "", "", 100-(100/(1+tbl_F[[#This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IF(tbl_F[[#This Row],[BB_Mean]]="", "", tbl_F[[#This Row],[BB_Mean]]+(BB_Width*tbl_F[[#This Row],[BB_Stdev]]))</f>
        <v/>
      </c>
      <c r="L7" s="10" t="str">
        <f ca="1">IF(tbl_F[[#This Row],[BB_Mean]]="", "", tbl_F[[#This Row],[BB_Mean]]-(BB_Width*tbl_F[[#This Row],[BB_Stdev]]))</f>
        <v/>
      </c>
      <c r="M7" s="46">
        <f>IF(ROW(tbl_F[[#This Row],[Adj Close]])=5, 0, $F7-$F6)</f>
        <v>-0.12000000000000011</v>
      </c>
      <c r="N7" s="46">
        <f>MAX(tbl_F[[#This Row],[Move]],0)</f>
        <v>0</v>
      </c>
      <c r="O7" s="46">
        <f>MAX(-tbl_F[[#This Row],[Move]],0)</f>
        <v>0.12000000000000011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IF(tbl_F[[#This Row],[Avg_Upmove]]="", "", tbl_F[[#This Row],[Avg_Upmove]]/tbl_F[[#This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7.03</v>
      </c>
      <c r="C8" s="10">
        <v>7.18</v>
      </c>
      <c r="D8" s="10">
        <v>7</v>
      </c>
      <c r="E8" s="10">
        <v>7.03</v>
      </c>
      <c r="F8" s="10">
        <v>7.03</v>
      </c>
      <c r="G8">
        <v>50066800</v>
      </c>
      <c r="H8" s="10">
        <f>IF(tbl_F[[#This Row],[Date]]=$A$5, $F8, EMA_Beta*$H7 + (1-EMA_Beta)*$F8)</f>
        <v>7.0971399999999996</v>
      </c>
      <c r="I8" s="46" t="str">
        <f ca="1">IF(tbl_F[[#This Row],[RS]]= "", "", 100-(100/(1+tbl_F[[#This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IF(tbl_F[[#This Row],[BB_Mean]]="", "", tbl_F[[#This Row],[BB_Mean]]+(BB_Width*tbl_F[[#This Row],[BB_Stdev]]))</f>
        <v/>
      </c>
      <c r="L8" s="10" t="str">
        <f ca="1">IF(tbl_F[[#This Row],[BB_Mean]]="", "", tbl_F[[#This Row],[BB_Mean]]-(BB_Width*tbl_F[[#This Row],[BB_Stdev]]))</f>
        <v/>
      </c>
      <c r="M8" s="46">
        <f>IF(ROW(tbl_F[[#This Row],[Adj Close]])=5, 0, $F8-$F7)</f>
        <v>-8.0000000000000071E-2</v>
      </c>
      <c r="N8" s="46">
        <f>MAX(tbl_F[[#This Row],[Move]],0)</f>
        <v>0</v>
      </c>
      <c r="O8" s="46">
        <f>MAX(-tbl_F[[#This Row],[Move]],0)</f>
        <v>8.0000000000000071E-2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IF(tbl_F[[#This Row],[Avg_Upmove]]="", "", tbl_F[[#This Row],[Avg_Upmove]]/tbl_F[[#This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6.97</v>
      </c>
      <c r="C9" s="10">
        <v>7.11</v>
      </c>
      <c r="D9" s="10">
        <v>6.93</v>
      </c>
      <c r="E9" s="10">
        <v>7.04</v>
      </c>
      <c r="F9" s="10">
        <v>7.04</v>
      </c>
      <c r="G9">
        <v>43517700</v>
      </c>
      <c r="H9" s="10">
        <f>IF(tbl_F[[#This Row],[Date]]=$A$5, $F9, EMA_Beta*$H8 + (1-EMA_Beta)*$F9)</f>
        <v>7.0914259999999993</v>
      </c>
      <c r="I9" s="46" t="str">
        <f ca="1">IF(tbl_F[[#This Row],[RS]]= "", "", 100-(100/(1+tbl_F[[#This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IF(tbl_F[[#This Row],[BB_Mean]]="", "", tbl_F[[#This Row],[BB_Mean]]+(BB_Width*tbl_F[[#This Row],[BB_Stdev]]))</f>
        <v/>
      </c>
      <c r="L9" s="10" t="str">
        <f ca="1">IF(tbl_F[[#This Row],[BB_Mean]]="", "", tbl_F[[#This Row],[BB_Mean]]-(BB_Width*tbl_F[[#This Row],[BB_Stdev]]))</f>
        <v/>
      </c>
      <c r="M9" s="46">
        <f>IF(ROW(tbl_F[[#This Row],[Adj Close]])=5, 0, $F9-$F8)</f>
        <v>9.9999999999997868E-3</v>
      </c>
      <c r="N9" s="46">
        <f>MAX(tbl_F[[#This Row],[Move]],0)</f>
        <v>9.9999999999997868E-3</v>
      </c>
      <c r="O9" s="46">
        <f>MAX(-tbl_F[[#This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IF(tbl_F[[#This Row],[Avg_Upmove]]="", "", tbl_F[[#This Row],[Avg_Upmove]]/tbl_F[[#This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7.05</v>
      </c>
      <c r="C10" s="10">
        <v>7.06</v>
      </c>
      <c r="D10" s="10">
        <v>6.87</v>
      </c>
      <c r="E10" s="10">
        <v>6.98</v>
      </c>
      <c r="F10" s="10">
        <v>6.98</v>
      </c>
      <c r="G10">
        <v>64555200</v>
      </c>
      <c r="H10" s="10">
        <f>IF(tbl_F[[#This Row],[Date]]=$A$5, $F10, EMA_Beta*$H9 + (1-EMA_Beta)*$F10)</f>
        <v>7.080283399999999</v>
      </c>
      <c r="I10" s="46" t="str">
        <f ca="1">IF(tbl_F[[#This Row],[RS]]= "", "", 100-(100/(1+tbl_F[[#This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IF(tbl_F[[#This Row],[BB_Mean]]="", "", tbl_F[[#This Row],[BB_Mean]]+(BB_Width*tbl_F[[#This Row],[BB_Stdev]]))</f>
        <v/>
      </c>
      <c r="L10" s="10" t="str">
        <f ca="1">IF(tbl_F[[#This Row],[BB_Mean]]="", "", tbl_F[[#This Row],[BB_Mean]]-(BB_Width*tbl_F[[#This Row],[BB_Stdev]]))</f>
        <v/>
      </c>
      <c r="M10" s="46">
        <f>IF(ROW(tbl_F[[#This Row],[Adj Close]])=5, 0, $F10-$F9)</f>
        <v>-5.9999999999999609E-2</v>
      </c>
      <c r="N10" s="46">
        <f>MAX(tbl_F[[#This Row],[Move]],0)</f>
        <v>0</v>
      </c>
      <c r="O10" s="46">
        <f>MAX(-tbl_F[[#This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IF(tbl_F[[#This Row],[Avg_Upmove]]="", "", tbl_F[[#This Row],[Avg_Upmove]]/tbl_F[[#This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6.98</v>
      </c>
      <c r="C11" s="10">
        <v>7.01</v>
      </c>
      <c r="D11" s="10">
        <v>6.89</v>
      </c>
      <c r="E11" s="10">
        <v>6.89</v>
      </c>
      <c r="F11" s="10">
        <v>6.89</v>
      </c>
      <c r="G11">
        <v>40444200</v>
      </c>
      <c r="H11" s="10">
        <f>IF(tbl_F[[#This Row],[Date]]=$A$5, $F11, EMA_Beta*$H10 + (1-EMA_Beta)*$F11)</f>
        <v>7.0612550599999997</v>
      </c>
      <c r="I11" s="46" t="str">
        <f ca="1">IF(tbl_F[[#This Row],[RS]]= "", "", 100-(100/(1+tbl_F[[#This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IF(tbl_F[[#This Row],[BB_Mean]]="", "", tbl_F[[#This Row],[BB_Mean]]+(BB_Width*tbl_F[[#This Row],[BB_Stdev]]))</f>
        <v/>
      </c>
      <c r="L11" s="10" t="str">
        <f ca="1">IF(tbl_F[[#This Row],[BB_Mean]]="", "", tbl_F[[#This Row],[BB_Mean]]-(BB_Width*tbl_F[[#This Row],[BB_Stdev]]))</f>
        <v/>
      </c>
      <c r="M11" s="46">
        <f>IF(ROW(tbl_F[[#This Row],[Adj Close]])=5, 0, $F11-$F10)</f>
        <v>-9.0000000000000746E-2</v>
      </c>
      <c r="N11" s="46">
        <f>MAX(tbl_F[[#This Row],[Move]],0)</f>
        <v>0</v>
      </c>
      <c r="O11" s="46">
        <f>MAX(-tbl_F[[#This Row],[Move]],0)</f>
        <v>9.0000000000000746E-2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IF(tbl_F[[#This Row],[Avg_Upmove]]="", "", tbl_F[[#This Row],[Avg_Upmove]]/tbl_F[[#This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6.89</v>
      </c>
      <c r="C12" s="10">
        <v>7.02</v>
      </c>
      <c r="D12" s="10">
        <v>6.86</v>
      </c>
      <c r="E12" s="10">
        <v>6.87</v>
      </c>
      <c r="F12" s="10">
        <v>6.87</v>
      </c>
      <c r="G12">
        <v>44158100</v>
      </c>
      <c r="H12" s="10">
        <f>IF(tbl_F[[#This Row],[Date]]=$A$5, $F12, EMA_Beta*$H11 + (1-EMA_Beta)*$F12)</f>
        <v>7.0421295539999988</v>
      </c>
      <c r="I12" s="46" t="str">
        <f ca="1">IF(tbl_F[[#This Row],[RS]]= "", "", 100-(100/(1+tbl_F[[#This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IF(tbl_F[[#This Row],[BB_Mean]]="", "", tbl_F[[#This Row],[BB_Mean]]+(BB_Width*tbl_F[[#This Row],[BB_Stdev]]))</f>
        <v/>
      </c>
      <c r="L12" s="10" t="str">
        <f ca="1">IF(tbl_F[[#This Row],[BB_Mean]]="", "", tbl_F[[#This Row],[BB_Mean]]-(BB_Width*tbl_F[[#This Row],[BB_Stdev]]))</f>
        <v/>
      </c>
      <c r="M12" s="46">
        <f>IF(ROW(tbl_F[[#This Row],[Adj Close]])=5, 0, $F12-$F11)</f>
        <v>-1.9999999999999574E-2</v>
      </c>
      <c r="N12" s="46">
        <f>MAX(tbl_F[[#This Row],[Move]],0)</f>
        <v>0</v>
      </c>
      <c r="O12" s="46">
        <f>MAX(-tbl_F[[#This Row],[Move]],0)</f>
        <v>1.9999999999999574E-2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IF(tbl_F[[#This Row],[Avg_Upmove]]="", "", tbl_F[[#This Row],[Avg_Upmove]]/tbl_F[[#This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6.77</v>
      </c>
      <c r="C13" s="10">
        <v>6.89</v>
      </c>
      <c r="D13" s="10">
        <v>6.73</v>
      </c>
      <c r="E13" s="10">
        <v>6.84</v>
      </c>
      <c r="F13" s="10">
        <v>6.84</v>
      </c>
      <c r="G13">
        <v>41824500</v>
      </c>
      <c r="H13" s="10">
        <f>IF(tbl_F[[#This Row],[Date]]=$A$5, $F13, EMA_Beta*$H12 + (1-EMA_Beta)*$F13)</f>
        <v>7.0219165985999989</v>
      </c>
      <c r="I13" s="46" t="str">
        <f ca="1">IF(tbl_F[[#This Row],[RS]]= "", "", 100-(100/(1+tbl_F[[#This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IF(tbl_F[[#This Row],[BB_Mean]]="", "", tbl_F[[#This Row],[BB_Mean]]+(BB_Width*tbl_F[[#This Row],[BB_Stdev]]))</f>
        <v/>
      </c>
      <c r="L13" s="10" t="str">
        <f ca="1">IF(tbl_F[[#This Row],[BB_Mean]]="", "", tbl_F[[#This Row],[BB_Mean]]-(BB_Width*tbl_F[[#This Row],[BB_Stdev]]))</f>
        <v/>
      </c>
      <c r="M13" s="46">
        <f>IF(ROW(tbl_F[[#This Row],[Adj Close]])=5, 0, $F13-$F12)</f>
        <v>-3.0000000000000249E-2</v>
      </c>
      <c r="N13" s="46">
        <f>MAX(tbl_F[[#This Row],[Move]],0)</f>
        <v>0</v>
      </c>
      <c r="O13" s="46">
        <f>MAX(-tbl_F[[#This Row],[Move]],0)</f>
        <v>3.0000000000000249E-2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IF(tbl_F[[#This Row],[Avg_Upmove]]="", "", tbl_F[[#This Row],[Avg_Upmove]]/tbl_F[[#This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6.78</v>
      </c>
      <c r="C14" s="10">
        <v>6.85</v>
      </c>
      <c r="D14" s="10">
        <v>6.65</v>
      </c>
      <c r="E14" s="10">
        <v>6.66</v>
      </c>
      <c r="F14" s="10">
        <v>6.66</v>
      </c>
      <c r="G14">
        <v>39158900</v>
      </c>
      <c r="H14" s="10">
        <f>IF(tbl_F[[#This Row],[Date]]=$A$5, $F14, EMA_Beta*$H13 + (1-EMA_Beta)*$F14)</f>
        <v>6.9857249387399989</v>
      </c>
      <c r="I14" s="46" t="str">
        <f ca="1">IF(tbl_F[[#This Row],[RS]]= "", "", 100-(100/(1+tbl_F[[#This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IF(tbl_F[[#This Row],[BB_Mean]]="", "", tbl_F[[#This Row],[BB_Mean]]+(BB_Width*tbl_F[[#This Row],[BB_Stdev]]))</f>
        <v/>
      </c>
      <c r="L14" s="10" t="str">
        <f ca="1">IF(tbl_F[[#This Row],[BB_Mean]]="", "", tbl_F[[#This Row],[BB_Mean]]-(BB_Width*tbl_F[[#This Row],[BB_Stdev]]))</f>
        <v/>
      </c>
      <c r="M14" s="46">
        <f>IF(ROW(tbl_F[[#This Row],[Adj Close]])=5, 0, $F14-$F13)</f>
        <v>-0.17999999999999972</v>
      </c>
      <c r="N14" s="46">
        <f>MAX(tbl_F[[#This Row],[Move]],0)</f>
        <v>0</v>
      </c>
      <c r="O14" s="46">
        <f>MAX(-tbl_F[[#This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IF(tbl_F[[#This Row],[Avg_Upmove]]="", "", tbl_F[[#This Row],[Avg_Upmove]]/tbl_F[[#This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6.73</v>
      </c>
      <c r="C15" s="10">
        <v>7</v>
      </c>
      <c r="D15" s="10">
        <v>6.69</v>
      </c>
      <c r="E15" s="10">
        <v>6.98</v>
      </c>
      <c r="F15" s="10">
        <v>6.98</v>
      </c>
      <c r="G15">
        <v>64974700</v>
      </c>
      <c r="H15" s="10">
        <f>IF(tbl_F[[#This Row],[Date]]=$A$5, $F15, EMA_Beta*$H14 + (1-EMA_Beta)*$F15)</f>
        <v>6.9851524448659985</v>
      </c>
      <c r="I15" s="46" t="str">
        <f ca="1">IF(tbl_F[[#This Row],[RS]]= "", "", 100-(100/(1+tbl_F[[#This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IF(tbl_F[[#This Row],[BB_Mean]]="", "", tbl_F[[#This Row],[BB_Mean]]+(BB_Width*tbl_F[[#This Row],[BB_Stdev]]))</f>
        <v/>
      </c>
      <c r="L15" s="10" t="str">
        <f ca="1">IF(tbl_F[[#This Row],[BB_Mean]]="", "", tbl_F[[#This Row],[BB_Mean]]-(BB_Width*tbl_F[[#This Row],[BB_Stdev]]))</f>
        <v/>
      </c>
      <c r="M15" s="46">
        <f>IF(ROW(tbl_F[[#This Row],[Adj Close]])=5, 0, $F15-$F14)</f>
        <v>0.32000000000000028</v>
      </c>
      <c r="N15" s="46">
        <f>MAX(tbl_F[[#This Row],[Move]],0)</f>
        <v>0.32000000000000028</v>
      </c>
      <c r="O15" s="46">
        <f>MAX(-tbl_F[[#This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IF(tbl_F[[#This Row],[Avg_Upmove]]="", "", tbl_F[[#This Row],[Avg_Upmove]]/tbl_F[[#This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7.01</v>
      </c>
      <c r="C16" s="10">
        <v>7.1</v>
      </c>
      <c r="D16" s="10">
        <v>6.86</v>
      </c>
      <c r="E16" s="10">
        <v>6.94</v>
      </c>
      <c r="F16" s="10">
        <v>6.94</v>
      </c>
      <c r="G16">
        <v>49550000</v>
      </c>
      <c r="H16" s="10">
        <f>IF(tbl_F[[#This Row],[Date]]=$A$5, $F16, EMA_Beta*$H15 + (1-EMA_Beta)*$F16)</f>
        <v>6.9806372003793991</v>
      </c>
      <c r="I16" s="46" t="str">
        <f ca="1">IF(tbl_F[[#This Row],[RS]]= "", "", 100-(100/(1+tbl_F[[#This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IF(tbl_F[[#This Row],[BB_Mean]]="", "", tbl_F[[#This Row],[BB_Mean]]+(BB_Width*tbl_F[[#This Row],[BB_Stdev]]))</f>
        <v/>
      </c>
      <c r="L16" s="10" t="str">
        <f ca="1">IF(tbl_F[[#This Row],[BB_Mean]]="", "", tbl_F[[#This Row],[BB_Mean]]-(BB_Width*tbl_F[[#This Row],[BB_Stdev]]))</f>
        <v/>
      </c>
      <c r="M16" s="46">
        <f>IF(ROW(tbl_F[[#This Row],[Adj Close]])=5, 0, $F16-$F15)</f>
        <v>-4.0000000000000036E-2</v>
      </c>
      <c r="N16" s="46">
        <f>MAX(tbl_F[[#This Row],[Move]],0)</f>
        <v>0</v>
      </c>
      <c r="O16" s="46">
        <f>MAX(-tbl_F[[#This Row],[Move]],0)</f>
        <v>4.0000000000000036E-2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IF(tbl_F[[#This Row],[Avg_Upmove]]="", "", tbl_F[[#This Row],[Avg_Upmove]]/tbl_F[[#This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6.94</v>
      </c>
      <c r="C17" s="10">
        <v>6.97</v>
      </c>
      <c r="D17" s="10">
        <v>6.77</v>
      </c>
      <c r="E17" s="10">
        <v>6.82</v>
      </c>
      <c r="F17" s="10">
        <v>6.82</v>
      </c>
      <c r="G17">
        <v>48600100</v>
      </c>
      <c r="H17" s="10">
        <f>IF(tbl_F[[#This Row],[Date]]=$A$5, $F17, EMA_Beta*$H16 + (1-EMA_Beta)*$F17)</f>
        <v>6.9645734803414587</v>
      </c>
      <c r="I17" s="46" t="str">
        <f ca="1">IF(tbl_F[[#This Row],[RS]]= "", "", 100-(100/(1+tbl_F[[#This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IF(tbl_F[[#This Row],[BB_Mean]]="", "", tbl_F[[#This Row],[BB_Mean]]+(BB_Width*tbl_F[[#This Row],[BB_Stdev]]))</f>
        <v/>
      </c>
      <c r="L17" s="10" t="str">
        <f ca="1">IF(tbl_F[[#This Row],[BB_Mean]]="", "", tbl_F[[#This Row],[BB_Mean]]-(BB_Width*tbl_F[[#This Row],[BB_Stdev]]))</f>
        <v/>
      </c>
      <c r="M17" s="46">
        <f>IF(ROW(tbl_F[[#This Row],[Adj Close]])=5, 0, $F17-$F16)</f>
        <v>-0.12000000000000011</v>
      </c>
      <c r="N17" s="46">
        <f>MAX(tbl_F[[#This Row],[Move]],0)</f>
        <v>0</v>
      </c>
      <c r="O17" s="46">
        <f>MAX(-tbl_F[[#This Row],[Move]],0)</f>
        <v>0.12000000000000011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IF(tbl_F[[#This Row],[Avg_Upmove]]="", "", tbl_F[[#This Row],[Avg_Upmove]]/tbl_F[[#This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6.83</v>
      </c>
      <c r="C18" s="10">
        <v>6.98</v>
      </c>
      <c r="D18" s="10">
        <v>6.83</v>
      </c>
      <c r="E18" s="10">
        <v>6.91</v>
      </c>
      <c r="F18" s="10">
        <v>6.91</v>
      </c>
      <c r="G18">
        <v>45740900</v>
      </c>
      <c r="H18" s="10">
        <f>IF(tbl_F[[#This Row],[Date]]=$A$5, $F18, EMA_Beta*$H17 + (1-EMA_Beta)*$F18)</f>
        <v>6.9591161323073125</v>
      </c>
      <c r="I18" s="46" t="str">
        <f ca="1">IF(tbl_F[[#This Row],[RS]]= "", "", 100-(100/(1+tbl_F[[#This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6.9564285714285701</v>
      </c>
      <c r="K18" s="10">
        <f ca="1">IF(tbl_F[[#This Row],[BB_Mean]]="", "", tbl_F[[#This Row],[BB_Mean]]+(BB_Width*tbl_F[[#This Row],[BB_Stdev]]))</f>
        <v>7.2415042313298184</v>
      </c>
      <c r="L18" s="10">
        <f ca="1">IF(tbl_F[[#This Row],[BB_Mean]]="", "", tbl_F[[#This Row],[BB_Mean]]-(BB_Width*tbl_F[[#This Row],[BB_Stdev]]))</f>
        <v>6.6713529115273218</v>
      </c>
      <c r="M18" s="46">
        <f>IF(ROW(tbl_F[[#This Row],[Adj Close]])=5, 0, $F18-$F17)</f>
        <v>8.9999999999999858E-2</v>
      </c>
      <c r="N18" s="46">
        <f>MAX(tbl_F[[#This Row],[Move]],0)</f>
        <v>8.9999999999999858E-2</v>
      </c>
      <c r="O18" s="46">
        <f>MAX(-tbl_F[[#This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IF(tbl_F[[#This Row],[Avg_Upmove]]="", "", tbl_F[[#This Row],[Avg_Upmove]]/tbl_F[[#This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0.14253782995062392</v>
      </c>
    </row>
    <row r="19" spans="1:19" x14ac:dyDescent="0.35">
      <c r="A19" s="8">
        <v>44071</v>
      </c>
      <c r="B19" s="10">
        <v>6.93</v>
      </c>
      <c r="C19" s="10">
        <v>6.95</v>
      </c>
      <c r="D19" s="10">
        <v>6.86</v>
      </c>
      <c r="E19" s="10">
        <v>6.94</v>
      </c>
      <c r="F19" s="10">
        <v>6.94</v>
      </c>
      <c r="G19">
        <v>39936900</v>
      </c>
      <c r="H19" s="10">
        <f>IF(tbl_F[[#This Row],[Date]]=$A$5, $F19, EMA_Beta*$H18 + (1-EMA_Beta)*$F19)</f>
        <v>6.9572045190765817</v>
      </c>
      <c r="I19" s="46">
        <f ca="1">IF(tbl_F[[#This Row],[RS]]= "", "", 100-(100/(1+tbl_F[[#This Row],[RS]])))</f>
        <v>44.360902255639118</v>
      </c>
      <c r="J19" s="10">
        <f ca="1">IF(ROW($N19)-4&lt;BB_Periods, "", AVERAGE(INDIRECT(ADDRESS(ROW($F19)-RSI_Periods +1, MATCH("Adj Close", Price_Header,0))): INDIRECT(ADDRESS(ROW($F19),MATCH("Adj Close", Price_Header,0)))))</f>
        <v>6.945714285714284</v>
      </c>
      <c r="K19" s="10">
        <f ca="1">IF(tbl_F[[#This Row],[BB_Mean]]="", "", tbl_F[[#This Row],[BB_Mean]]+(BB_Width*tbl_F[[#This Row],[BB_Stdev]]))</f>
        <v>7.2202448540796906</v>
      </c>
      <c r="L19" s="10">
        <f ca="1">IF(tbl_F[[#This Row],[BB_Mean]]="", "", tbl_F[[#This Row],[BB_Mean]]-(BB_Width*tbl_F[[#This Row],[BB_Stdev]]))</f>
        <v>6.6711837173488773</v>
      </c>
      <c r="M19" s="46">
        <f>IF(ROW(tbl_F[[#This Row],[Adj Close]])=5, 0, $F19-$F18)</f>
        <v>3.0000000000000249E-2</v>
      </c>
      <c r="N19" s="46">
        <f>MAX(tbl_F[[#This Row],[Move]],0)</f>
        <v>3.0000000000000249E-2</v>
      </c>
      <c r="O19" s="46">
        <f>MAX(-tbl_F[[#This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4.2142857142857197E-2</v>
      </c>
      <c r="Q19" s="46">
        <f ca="1">IF(ROW($O19)-5&lt;RSI_Periods, "", AVERAGE(INDIRECT(ADDRESS(ROW($O19)-RSI_Periods +1, MATCH("Downmove", Price_Header,0))): INDIRECT(ADDRESS(ROW($O19),MATCH("Downmove", Price_Header,0)))))</f>
        <v>5.2857142857142873E-2</v>
      </c>
      <c r="R19" s="46">
        <f ca="1">IF(tbl_F[[#This Row],[Avg_Upmove]]="", "", tbl_F[[#This Row],[Avg_Upmove]]/tbl_F[[#This Row],[Avg_Downmove]])</f>
        <v>0.79729729729729804</v>
      </c>
      <c r="S19" s="10">
        <f ca="1">IF(ROW($N19)-4&lt;BB_Periods, "", _xlfn.STDEV.S(INDIRECT(ADDRESS(ROW($F19)-RSI_Periods +1, MATCH("Adj Close", Price_Header,0))): INDIRECT(ADDRESS(ROW($F19),MATCH("Adj Close", Price_Header,0)))))</f>
        <v>0.1372652841827032</v>
      </c>
    </row>
    <row r="20" spans="1:19" x14ac:dyDescent="0.35">
      <c r="A20" s="8">
        <v>44074</v>
      </c>
      <c r="B20" s="10">
        <v>6.9</v>
      </c>
      <c r="C20" s="10">
        <v>6.93</v>
      </c>
      <c r="D20" s="10">
        <v>6.79</v>
      </c>
      <c r="E20" s="10">
        <v>6.82</v>
      </c>
      <c r="F20" s="10">
        <v>6.82</v>
      </c>
      <c r="G20">
        <v>50089500</v>
      </c>
      <c r="H20" s="10">
        <f>IF(tbl_F[[#This Row],[Date]]=$A$5, $F20, EMA_Beta*$H19 + (1-EMA_Beta)*$F20)</f>
        <v>6.9434840671689235</v>
      </c>
      <c r="I20" s="46">
        <f ca="1">IF(tbl_F[[#This Row],[RS]]= "", "", 100-(100/(1+tbl_F[[#This Row],[RS]])))</f>
        <v>34.351145038167942</v>
      </c>
      <c r="J20" s="10">
        <f ca="1">IF(ROW($N20)-4&lt;BB_Periods, "", AVERAGE(INDIRECT(ADDRESS(ROW($F20)-RSI_Periods +1, MATCH("Adj Close", Price_Header,0))): INDIRECT(ADDRESS(ROW($F20),MATCH("Adj Close", Price_Header,0)))))</f>
        <v>6.91642857142857</v>
      </c>
      <c r="K20" s="10">
        <f ca="1">IF(tbl_F[[#This Row],[BB_Mean]]="", "", tbl_F[[#This Row],[BB_Mean]]+(BB_Width*tbl_F[[#This Row],[BB_Stdev]]))</f>
        <v>7.143734822702335</v>
      </c>
      <c r="L20" s="10">
        <f ca="1">IF(tbl_F[[#This Row],[BB_Mean]]="", "", tbl_F[[#This Row],[BB_Mean]]-(BB_Width*tbl_F[[#This Row],[BB_Stdev]]))</f>
        <v>6.6891223201548051</v>
      </c>
      <c r="M20" s="46">
        <f>IF(ROW(tbl_F[[#This Row],[Adj Close]])=5, 0, $F20-$F19)</f>
        <v>-0.12000000000000011</v>
      </c>
      <c r="N20" s="46">
        <f>MAX(tbl_F[[#This Row],[Move]],0)</f>
        <v>0</v>
      </c>
      <c r="O20" s="46">
        <f>MAX(-tbl_F[[#This Row],[Move]],0)</f>
        <v>0.12000000000000011</v>
      </c>
      <c r="P20" s="46">
        <f ca="1">IF(ROW($N20)-5&lt;RSI_Periods, "", AVERAGE(INDIRECT(ADDRESS(ROW($N20)-RSI_Periods +1, MATCH("Upmove", Price_Header,0))): INDIRECT(ADDRESS(ROW($N20),MATCH("Upmove", Price_Header,0)))))</f>
        <v>3.2142857142857154E-2</v>
      </c>
      <c r="Q20" s="46">
        <f ca="1">IF(ROW($O20)-5&lt;RSI_Periods, "", AVERAGE(INDIRECT(ADDRESS(ROW($O20)-RSI_Periods +1, MATCH("Downmove", Price_Header,0))): INDIRECT(ADDRESS(ROW($O20),MATCH("Downmove", Price_Header,0)))))</f>
        <v>6.142857142857145E-2</v>
      </c>
      <c r="R20" s="46">
        <f ca="1">IF(tbl_F[[#This Row],[Avg_Upmove]]="", "", tbl_F[[#This Row],[Avg_Upmove]]/tbl_F[[#This Row],[Avg_Downmove]])</f>
        <v>0.52325581395348841</v>
      </c>
      <c r="S20" s="10">
        <f ca="1">IF(ROW($N20)-4&lt;BB_Periods, "", _xlfn.STDEV.S(INDIRECT(ADDRESS(ROW($F20)-RSI_Periods +1, MATCH("Adj Close", Price_Header,0))): INDIRECT(ADDRESS(ROW($F20),MATCH("Adj Close", Price_Header,0)))))</f>
        <v>0.11365312563688242</v>
      </c>
    </row>
    <row r="21" spans="1:19" x14ac:dyDescent="0.35">
      <c r="A21" s="8">
        <v>44075</v>
      </c>
      <c r="B21" s="10">
        <v>6.77</v>
      </c>
      <c r="C21" s="10">
        <v>6.87</v>
      </c>
      <c r="D21" s="10">
        <v>6.72</v>
      </c>
      <c r="E21" s="10">
        <v>6.83</v>
      </c>
      <c r="F21" s="10">
        <v>6.83</v>
      </c>
      <c r="G21">
        <v>48214200</v>
      </c>
      <c r="H21" s="10">
        <f>IF(tbl_F[[#This Row],[Date]]=$A$5, $F21, EMA_Beta*$H20 + (1-EMA_Beta)*$F21)</f>
        <v>6.9321356604520314</v>
      </c>
      <c r="I21" s="46">
        <f ca="1">IF(tbl_F[[#This Row],[RS]]= "", "", 100-(100/(1+tbl_F[[#This Row],[RS]])))</f>
        <v>38.333333333333329</v>
      </c>
      <c r="J21" s="10">
        <f ca="1">IF(ROW($N21)-4&lt;BB_Periods, "", AVERAGE(INDIRECT(ADDRESS(ROW($F21)-RSI_Periods +1, MATCH("Adj Close", Price_Header,0))): INDIRECT(ADDRESS(ROW($F21),MATCH("Adj Close", Price_Header,0)))))</f>
        <v>6.8964285714285714</v>
      </c>
      <c r="K21" s="10">
        <f ca="1">IF(tbl_F[[#This Row],[BB_Mean]]="", "", tbl_F[[#This Row],[BB_Mean]]+(BB_Width*tbl_F[[#This Row],[BB_Stdev]]))</f>
        <v>7.098206384168936</v>
      </c>
      <c r="L21" s="10">
        <f ca="1">IF(tbl_F[[#This Row],[BB_Mean]]="", "", tbl_F[[#This Row],[BB_Mean]]-(BB_Width*tbl_F[[#This Row],[BB_Stdev]]))</f>
        <v>6.6946507586882067</v>
      </c>
      <c r="M21" s="46">
        <f>IF(ROW(tbl_F[[#This Row],[Adj Close]])=5, 0, $F21-$F20)</f>
        <v>9.9999999999997868E-3</v>
      </c>
      <c r="N21" s="46">
        <f>MAX(tbl_F[[#This Row],[Move]],0)</f>
        <v>9.9999999999997868E-3</v>
      </c>
      <c r="O21" s="46">
        <f>MAX(-tbl_F[[#This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3.2857142857142856E-2</v>
      </c>
      <c r="Q21" s="46">
        <f ca="1">IF(ROW($O21)-5&lt;RSI_Periods, "", AVERAGE(INDIRECT(ADDRESS(ROW($O21)-RSI_Periods +1, MATCH("Downmove", Price_Header,0))): INDIRECT(ADDRESS(ROW($O21),MATCH("Downmove", Price_Header,0)))))</f>
        <v>5.2857142857142873E-2</v>
      </c>
      <c r="R21" s="46">
        <f ca="1">IF(tbl_F[[#This Row],[Avg_Upmove]]="", "", tbl_F[[#This Row],[Avg_Upmove]]/tbl_F[[#This Row],[Avg_Downmove]])</f>
        <v>0.62162162162162138</v>
      </c>
      <c r="S21" s="10">
        <f ca="1">IF(ROW($N21)-4&lt;BB_Periods, "", _xlfn.STDEV.S(INDIRECT(ADDRESS(ROW($F21)-RSI_Periods +1, MATCH("Adj Close", Price_Header,0))): INDIRECT(ADDRESS(ROW($F21),MATCH("Adj Close", Price_Header,0)))))</f>
        <v>0.10088890637018244</v>
      </c>
    </row>
    <row r="22" spans="1:19" x14ac:dyDescent="0.35">
      <c r="A22" s="8">
        <v>44076</v>
      </c>
      <c r="B22" s="10">
        <v>6.81</v>
      </c>
      <c r="C22" s="10">
        <v>6.97</v>
      </c>
      <c r="D22" s="10">
        <v>6.77</v>
      </c>
      <c r="E22" s="10">
        <v>6.95</v>
      </c>
      <c r="F22" s="10">
        <v>6.95</v>
      </c>
      <c r="G22">
        <v>59008900</v>
      </c>
      <c r="H22" s="10">
        <f>IF(tbl_F[[#This Row],[Date]]=$A$5, $F22, EMA_Beta*$H21 + (1-EMA_Beta)*$F22)</f>
        <v>6.9339220944068281</v>
      </c>
      <c r="I22" s="46">
        <f ca="1">IF(tbl_F[[#This Row],[RS]]= "", "", 100-(100/(1+tbl_F[[#This Row],[RS]])))</f>
        <v>46.774193548387096</v>
      </c>
      <c r="J22" s="10">
        <f ca="1">IF(ROW($N22)-4&lt;BB_Periods, "", AVERAGE(INDIRECT(ADDRESS(ROW($F22)-RSI_Periods +1, MATCH("Adj Close", Price_Header,0))): INDIRECT(ADDRESS(ROW($F22),MATCH("Adj Close", Price_Header,0)))))</f>
        <v>6.890714285714286</v>
      </c>
      <c r="K22" s="10">
        <f ca="1">IF(tbl_F[[#This Row],[BB_Mean]]="", "", tbl_F[[#This Row],[BB_Mean]]+(BB_Width*tbl_F[[#This Row],[BB_Stdev]]))</f>
        <v>7.080364049666243</v>
      </c>
      <c r="L22" s="10">
        <f ca="1">IF(tbl_F[[#This Row],[BB_Mean]]="", "", tbl_F[[#This Row],[BB_Mean]]-(BB_Width*tbl_F[[#This Row],[BB_Stdev]]))</f>
        <v>6.701064521762329</v>
      </c>
      <c r="M22" s="46">
        <f>IF(ROW(tbl_F[[#This Row],[Adj Close]])=5, 0, $F22-$F21)</f>
        <v>0.12000000000000011</v>
      </c>
      <c r="N22" s="46">
        <f>MAX(tbl_F[[#This Row],[Move]],0)</f>
        <v>0.12000000000000011</v>
      </c>
      <c r="O22" s="46">
        <f>MAX(-tbl_F[[#This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4.1428571428571433E-2</v>
      </c>
      <c r="Q22" s="46">
        <f ca="1">IF(ROW($O22)-5&lt;RSI_Periods, "", AVERAGE(INDIRECT(ADDRESS(ROW($O22)-RSI_Periods +1, MATCH("Downmove", Price_Header,0))): INDIRECT(ADDRESS(ROW($O22),MATCH("Downmove", Price_Header,0)))))</f>
        <v>4.7142857142857153E-2</v>
      </c>
      <c r="R22" s="46">
        <f ca="1">IF(tbl_F[[#This Row],[Avg_Upmove]]="", "", tbl_F[[#This Row],[Avg_Upmove]]/tbl_F[[#This Row],[Avg_Downmove]])</f>
        <v>0.87878787878787867</v>
      </c>
      <c r="S22" s="10">
        <f ca="1">IF(ROW($N22)-4&lt;BB_Periods, "", _xlfn.STDEV.S(INDIRECT(ADDRESS(ROW($F22)-RSI_Periods +1, MATCH("Adj Close", Price_Header,0))): INDIRECT(ADDRESS(ROW($F22),MATCH("Adj Close", Price_Header,0)))))</f>
        <v>9.4824881975978492E-2</v>
      </c>
    </row>
    <row r="23" spans="1:19" x14ac:dyDescent="0.35">
      <c r="A23" s="8">
        <v>44077</v>
      </c>
      <c r="B23" s="10">
        <v>6.92</v>
      </c>
      <c r="C23" s="10">
        <v>7.09</v>
      </c>
      <c r="D23" s="10">
        <v>6.76</v>
      </c>
      <c r="E23" s="10">
        <v>6.82</v>
      </c>
      <c r="F23" s="10">
        <v>6.82</v>
      </c>
      <c r="G23">
        <v>78130900</v>
      </c>
      <c r="H23" s="10">
        <f>IF(tbl_F[[#This Row],[Date]]=$A$5, $F23, EMA_Beta*$H22 + (1-EMA_Beta)*$F23)</f>
        <v>6.9225298849661447</v>
      </c>
      <c r="I23" s="46">
        <f ca="1">IF(tbl_F[[#This Row],[RS]]= "", "", 100-(100/(1+tbl_F[[#This Row],[RS]])))</f>
        <v>41.911764705882362</v>
      </c>
      <c r="J23" s="10">
        <f ca="1">IF(ROW($N23)-4&lt;BB_Periods, "", AVERAGE(INDIRECT(ADDRESS(ROW($F23)-RSI_Periods +1, MATCH("Adj Close", Price_Header,0))): INDIRECT(ADDRESS(ROW($F23),MATCH("Adj Close", Price_Header,0)))))</f>
        <v>6.875</v>
      </c>
      <c r="K23" s="10">
        <f ca="1">IF(tbl_F[[#This Row],[BB_Mean]]="", "", tbl_F[[#This Row],[BB_Mean]]+(BB_Width*tbl_F[[#This Row],[BB_Stdev]]))</f>
        <v>7.0470017888994629</v>
      </c>
      <c r="L23" s="10">
        <f ca="1">IF(tbl_F[[#This Row],[BB_Mean]]="", "", tbl_F[[#This Row],[BB_Mean]]-(BB_Width*tbl_F[[#This Row],[BB_Stdev]]))</f>
        <v>6.7029982111005371</v>
      </c>
      <c r="M23" s="46">
        <f>IF(ROW(tbl_F[[#This Row],[Adj Close]])=5, 0, $F23-$F22)</f>
        <v>-0.12999999999999989</v>
      </c>
      <c r="N23" s="46">
        <f>MAX(tbl_F[[#This Row],[Move]],0)</f>
        <v>0</v>
      </c>
      <c r="O23" s="46">
        <f>MAX(-tbl_F[[#This Row],[Move]],0)</f>
        <v>0.12999999999999989</v>
      </c>
      <c r="P23" s="46">
        <f ca="1">IF(ROW($N23)-5&lt;RSI_Periods, "", AVERAGE(INDIRECT(ADDRESS(ROW($N23)-RSI_Periods +1, MATCH("Upmove", Price_Header,0))): INDIRECT(ADDRESS(ROW($N23),MATCH("Upmove", Price_Header,0)))))</f>
        <v>4.0714285714285738E-2</v>
      </c>
      <c r="Q23" s="46">
        <f ca="1">IF(ROW($O23)-5&lt;RSI_Periods, "", AVERAGE(INDIRECT(ADDRESS(ROW($O23)-RSI_Periods +1, MATCH("Downmove", Price_Header,0))): INDIRECT(ADDRESS(ROW($O23),MATCH("Downmove", Price_Header,0)))))</f>
        <v>5.6428571428571432E-2</v>
      </c>
      <c r="R23" s="46">
        <f ca="1">IF(tbl_F[[#This Row],[Avg_Upmove]]="", "", tbl_F[[#This Row],[Avg_Upmove]]/tbl_F[[#This Row],[Avg_Downmove]])</f>
        <v>0.72151898734177256</v>
      </c>
      <c r="S23" s="10">
        <f ca="1">IF(ROW($N23)-4&lt;BB_Periods, "", _xlfn.STDEV.S(INDIRECT(ADDRESS(ROW($F23)-RSI_Periods +1, MATCH("Adj Close", Price_Header,0))): INDIRECT(ADDRESS(ROW($F23),MATCH("Adj Close", Price_Header,0)))))</f>
        <v>8.6000894449731496E-2</v>
      </c>
    </row>
    <row r="24" spans="1:19" x14ac:dyDescent="0.35">
      <c r="A24" s="8">
        <v>44078</v>
      </c>
      <c r="B24" s="10">
        <v>6.86</v>
      </c>
      <c r="C24" s="10">
        <v>6.95</v>
      </c>
      <c r="D24" s="10">
        <v>6.75</v>
      </c>
      <c r="E24" s="10">
        <v>6.9</v>
      </c>
      <c r="F24" s="10">
        <v>6.9</v>
      </c>
      <c r="G24">
        <v>70017500</v>
      </c>
      <c r="H24" s="10">
        <f>IF(tbl_F[[#This Row],[Date]]=$A$5, $F24, EMA_Beta*$H23 + (1-EMA_Beta)*$F24)</f>
        <v>6.92027689646953</v>
      </c>
      <c r="I24" s="46">
        <f ca="1">IF(tbl_F[[#This Row],[RS]]= "", "", 100-(100/(1+tbl_F[[#This Row],[RS]])))</f>
        <v>47.10144927536232</v>
      </c>
      <c r="J24" s="10">
        <f ca="1">IF(ROW($N24)-4&lt;BB_Periods, "", AVERAGE(INDIRECT(ADDRESS(ROW($F24)-RSI_Periods +1, MATCH("Adj Close", Price_Header,0))): INDIRECT(ADDRESS(ROW($F24),MATCH("Adj Close", Price_Header,0)))))</f>
        <v>6.8692857142857138</v>
      </c>
      <c r="K24" s="10">
        <f ca="1">IF(tbl_F[[#This Row],[BB_Mean]]="", "", tbl_F[[#This Row],[BB_Mean]]+(BB_Width*tbl_F[[#This Row],[BB_Stdev]]))</f>
        <v>7.0312855786188546</v>
      </c>
      <c r="L24" s="10">
        <f ca="1">IF(tbl_F[[#This Row],[BB_Mean]]="", "", tbl_F[[#This Row],[BB_Mean]]-(BB_Width*tbl_F[[#This Row],[BB_Stdev]]))</f>
        <v>6.7072858499525729</v>
      </c>
      <c r="M24" s="46">
        <f>IF(ROW(tbl_F[[#This Row],[Adj Close]])=5, 0, $F24-$F23)</f>
        <v>8.0000000000000071E-2</v>
      </c>
      <c r="N24" s="46">
        <f>MAX(tbl_F[[#This Row],[Move]],0)</f>
        <v>8.0000000000000071E-2</v>
      </c>
      <c r="O24" s="46">
        <f>MAX(-tbl_F[[#This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4.6428571428571451E-2</v>
      </c>
      <c r="Q24" s="46">
        <f ca="1">IF(ROW($O24)-5&lt;RSI_Periods, "", AVERAGE(INDIRECT(ADDRESS(ROW($O24)-RSI_Periods +1, MATCH("Downmove", Price_Header,0))): INDIRECT(ADDRESS(ROW($O24),MATCH("Downmove", Price_Header,0)))))</f>
        <v>5.2142857142857171E-2</v>
      </c>
      <c r="R24" s="46">
        <f ca="1">IF(tbl_F[[#This Row],[Avg_Upmove]]="", "", tbl_F[[#This Row],[Avg_Upmove]]/tbl_F[[#This Row],[Avg_Downmove]])</f>
        <v>0.89041095890410948</v>
      </c>
      <c r="S24" s="10">
        <f ca="1">IF(ROW($N24)-4&lt;BB_Periods, "", _xlfn.STDEV.S(INDIRECT(ADDRESS(ROW($F24)-RSI_Periods +1, MATCH("Adj Close", Price_Header,0))): INDIRECT(ADDRESS(ROW($F24),MATCH("Adj Close", Price_Header,0)))))</f>
        <v>8.099993216657049E-2</v>
      </c>
    </row>
    <row r="25" spans="1:19" x14ac:dyDescent="0.35">
      <c r="A25" s="8">
        <v>44082</v>
      </c>
      <c r="B25" s="10">
        <v>6.83</v>
      </c>
      <c r="C25" s="10">
        <v>7.17</v>
      </c>
      <c r="D25" s="10">
        <v>6.81</v>
      </c>
      <c r="E25" s="10">
        <v>7.03</v>
      </c>
      <c r="F25" s="10">
        <v>7.03</v>
      </c>
      <c r="G25">
        <v>84749300</v>
      </c>
      <c r="H25" s="10">
        <f>IF(tbl_F[[#This Row],[Date]]=$A$5, $F25, EMA_Beta*$H24 + (1-EMA_Beta)*$F25)</f>
        <v>6.9312492068225762</v>
      </c>
      <c r="I25" s="46">
        <f ca="1">IF(tbl_F[[#This Row],[RS]]= "", "", 100-(100/(1+tbl_F[[#This Row],[RS]])))</f>
        <v>54.92957746478875</v>
      </c>
      <c r="J25" s="10">
        <f ca="1">IF(ROW($N25)-4&lt;BB_Periods, "", AVERAGE(INDIRECT(ADDRESS(ROW($F25)-RSI_Periods +1, MATCH("Adj Close", Price_Header,0))): INDIRECT(ADDRESS(ROW($F25),MATCH("Adj Close", Price_Header,0)))))</f>
        <v>6.8792857142857144</v>
      </c>
      <c r="K25" s="10">
        <f ca="1">IF(tbl_F[[#This Row],[BB_Mean]]="", "", tbl_F[[#This Row],[BB_Mean]]+(BB_Width*tbl_F[[#This Row],[BB_Stdev]]))</f>
        <v>7.0626666604839805</v>
      </c>
      <c r="L25" s="10">
        <f ca="1">IF(tbl_F[[#This Row],[BB_Mean]]="", "", tbl_F[[#This Row],[BB_Mean]]-(BB_Width*tbl_F[[#This Row],[BB_Stdev]]))</f>
        <v>6.6959047680874484</v>
      </c>
      <c r="M25" s="46">
        <f>IF(ROW(tbl_F[[#This Row],[Adj Close]])=5, 0, $F25-$F24)</f>
        <v>0.12999999999999989</v>
      </c>
      <c r="N25" s="46">
        <f>MAX(tbl_F[[#This Row],[Move]],0)</f>
        <v>0.12999999999999989</v>
      </c>
      <c r="O25" s="46">
        <f>MAX(-tbl_F[[#This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5.571428571428573E-2</v>
      </c>
      <c r="Q25" s="46">
        <f ca="1">IF(ROW($O25)-5&lt;RSI_Periods, "", AVERAGE(INDIRECT(ADDRESS(ROW($O25)-RSI_Periods +1, MATCH("Downmove", Price_Header,0))): INDIRECT(ADDRESS(ROW($O25),MATCH("Downmove", Price_Header,0)))))</f>
        <v>4.5714285714285693E-2</v>
      </c>
      <c r="R25" s="46">
        <f ca="1">IF(tbl_F[[#This Row],[Avg_Upmove]]="", "", tbl_F[[#This Row],[Avg_Upmove]]/tbl_F[[#This Row],[Avg_Downmove]])</f>
        <v>1.2187500000000009</v>
      </c>
      <c r="S25" s="10">
        <f ca="1">IF(ROW($N25)-4&lt;BB_Periods, "", _xlfn.STDEV.S(INDIRECT(ADDRESS(ROW($F25)-RSI_Periods +1, MATCH("Adj Close", Price_Header,0))): INDIRECT(ADDRESS(ROW($F25),MATCH("Adj Close", Price_Header,0)))))</f>
        <v>9.1690473099133182E-2</v>
      </c>
    </row>
    <row r="26" spans="1:19" x14ac:dyDescent="0.35">
      <c r="A26" s="8">
        <v>44083</v>
      </c>
      <c r="B26" s="10">
        <v>7.07</v>
      </c>
      <c r="C26" s="10">
        <v>7.1</v>
      </c>
      <c r="D26" s="10">
        <v>6.93</v>
      </c>
      <c r="E26" s="10">
        <v>6.97</v>
      </c>
      <c r="F26" s="10">
        <v>6.97</v>
      </c>
      <c r="G26">
        <v>56501400</v>
      </c>
      <c r="H26" s="10">
        <f>IF(tbl_F[[#This Row],[Date]]=$A$5, $F26, EMA_Beta*$H25 + (1-EMA_Beta)*$F26)</f>
        <v>6.9351242861403186</v>
      </c>
      <c r="I26" s="46">
        <f ca="1">IF(tbl_F[[#This Row],[RS]]= "", "", 100-(100/(1+tbl_F[[#This Row],[RS]])))</f>
        <v>53.424657534246563</v>
      </c>
      <c r="J26" s="10">
        <f ca="1">IF(ROW($N26)-4&lt;BB_Periods, "", AVERAGE(INDIRECT(ADDRESS(ROW($F26)-RSI_Periods +1, MATCH("Adj Close", Price_Header,0))): INDIRECT(ADDRESS(ROW($F26),MATCH("Adj Close", Price_Header,0)))))</f>
        <v>6.8864285714285716</v>
      </c>
      <c r="K26" s="10">
        <f ca="1">IF(tbl_F[[#This Row],[BB_Mean]]="", "", tbl_F[[#This Row],[BB_Mean]]+(BB_Width*tbl_F[[#This Row],[BB_Stdev]]))</f>
        <v>7.0759392194520681</v>
      </c>
      <c r="L26" s="10">
        <f ca="1">IF(tbl_F[[#This Row],[BB_Mean]]="", "", tbl_F[[#This Row],[BB_Mean]]-(BB_Width*tbl_F[[#This Row],[BB_Stdev]]))</f>
        <v>6.6969179234050751</v>
      </c>
      <c r="M26" s="46">
        <f>IF(ROW(tbl_F[[#This Row],[Adj Close]])=5, 0, $F26-$F25)</f>
        <v>-6.0000000000000497E-2</v>
      </c>
      <c r="N26" s="46">
        <f>MAX(tbl_F[[#This Row],[Move]],0)</f>
        <v>0</v>
      </c>
      <c r="O26" s="46">
        <f>MAX(-tbl_F[[#This Row],[Move]],0)</f>
        <v>6.0000000000000497E-2</v>
      </c>
      <c r="P26" s="46">
        <f ca="1">IF(ROW($N26)-5&lt;RSI_Periods, "", AVERAGE(INDIRECT(ADDRESS(ROW($N26)-RSI_Periods +1, MATCH("Upmove", Price_Header,0))): INDIRECT(ADDRESS(ROW($N26),MATCH("Upmove", Price_Header,0)))))</f>
        <v>5.571428571428573E-2</v>
      </c>
      <c r="Q26" s="46">
        <f ca="1">IF(ROW($O26)-5&lt;RSI_Periods, "", AVERAGE(INDIRECT(ADDRESS(ROW($O26)-RSI_Periods +1, MATCH("Downmove", Price_Header,0))): INDIRECT(ADDRESS(ROW($O26),MATCH("Downmove", Price_Header,0)))))</f>
        <v>4.8571428571428613E-2</v>
      </c>
      <c r="R26" s="46">
        <f ca="1">IF(tbl_F[[#This Row],[Avg_Upmove]]="", "", tbl_F[[#This Row],[Avg_Upmove]]/tbl_F[[#This Row],[Avg_Downmove]])</f>
        <v>1.147058823529411</v>
      </c>
      <c r="S26" s="10">
        <f ca="1">IF(ROW($N26)-4&lt;BB_Periods, "", _xlfn.STDEV.S(INDIRECT(ADDRESS(ROW($F26)-RSI_Periods +1, MATCH("Adj Close", Price_Header,0))): INDIRECT(ADDRESS(ROW($F26),MATCH("Adj Close", Price_Header,0)))))</f>
        <v>9.4755324011748451E-2</v>
      </c>
    </row>
    <row r="27" spans="1:19" x14ac:dyDescent="0.35">
      <c r="A27" s="8">
        <v>44084</v>
      </c>
      <c r="B27" s="10">
        <v>6.99</v>
      </c>
      <c r="C27" s="10">
        <v>7.04</v>
      </c>
      <c r="D27" s="10">
        <v>6.87</v>
      </c>
      <c r="E27" s="10">
        <v>6.91</v>
      </c>
      <c r="F27" s="10">
        <v>6.91</v>
      </c>
      <c r="G27">
        <v>69228600</v>
      </c>
      <c r="H27" s="10">
        <f>IF(tbl_F[[#This Row],[Date]]=$A$5, $F27, EMA_Beta*$H26 + (1-EMA_Beta)*$F27)</f>
        <v>6.9326118575262869</v>
      </c>
      <c r="I27" s="46">
        <f ca="1">IF(tbl_F[[#This Row],[RS]]= "", "", 100-(100/(1+tbl_F[[#This Row],[RS]])))</f>
        <v>52.348993288590613</v>
      </c>
      <c r="J27" s="10">
        <f ca="1">IF(ROW($N27)-4&lt;BB_Periods, "", AVERAGE(INDIRECT(ADDRESS(ROW($F27)-RSI_Periods +1, MATCH("Adj Close", Price_Header,0))): INDIRECT(ADDRESS(ROW($F27),MATCH("Adj Close", Price_Header,0)))))</f>
        <v>6.8914285714285715</v>
      </c>
      <c r="K27" s="10">
        <f ca="1">IF(tbl_F[[#This Row],[BB_Mean]]="", "", tbl_F[[#This Row],[BB_Mean]]+(BB_Width*tbl_F[[#This Row],[BB_Stdev]]))</f>
        <v>7.0793495274560616</v>
      </c>
      <c r="L27" s="10">
        <f ca="1">IF(tbl_F[[#This Row],[BB_Mean]]="", "", tbl_F[[#This Row],[BB_Mean]]-(BB_Width*tbl_F[[#This Row],[BB_Stdev]]))</f>
        <v>6.7035076154010813</v>
      </c>
      <c r="M27" s="46">
        <f>IF(ROW(tbl_F[[#This Row],[Adj Close]])=5, 0, $F27-$F26)</f>
        <v>-5.9999999999999609E-2</v>
      </c>
      <c r="N27" s="46">
        <f>MAX(tbl_F[[#This Row],[Move]],0)</f>
        <v>0</v>
      </c>
      <c r="O27" s="46">
        <f>MAX(-tbl_F[[#This Row],[Move]],0)</f>
        <v>5.9999999999999609E-2</v>
      </c>
      <c r="P27" s="46">
        <f ca="1">IF(ROW($N27)-5&lt;RSI_Periods, "", AVERAGE(INDIRECT(ADDRESS(ROW($N27)-RSI_Periods +1, MATCH("Upmove", Price_Header,0))): INDIRECT(ADDRESS(ROW($N27),MATCH("Upmove", Price_Header,0)))))</f>
        <v>5.571428571428573E-2</v>
      </c>
      <c r="Q27" s="46">
        <f ca="1">IF(ROW($O27)-5&lt;RSI_Periods, "", AVERAGE(INDIRECT(ADDRESS(ROW($O27)-RSI_Periods +1, MATCH("Downmove", Price_Header,0))): INDIRECT(ADDRESS(ROW($O27),MATCH("Downmove", Price_Header,0)))))</f>
        <v>5.0714285714285712E-2</v>
      </c>
      <c r="R27" s="46">
        <f ca="1">IF(tbl_F[[#This Row],[Avg_Upmove]]="", "", tbl_F[[#This Row],[Avg_Upmove]]/tbl_F[[#This Row],[Avg_Downmove]])</f>
        <v>1.098591549295775</v>
      </c>
      <c r="S27" s="10">
        <f ca="1">IF(ROW($N27)-4&lt;BB_Periods, "", _xlfn.STDEV.S(INDIRECT(ADDRESS(ROW($F27)-RSI_Periods +1, MATCH("Adj Close", Price_Header,0))): INDIRECT(ADDRESS(ROW($F27),MATCH("Adj Close", Price_Header,0)))))</f>
        <v>9.3960478013744853E-2</v>
      </c>
    </row>
    <row r="28" spans="1:19" x14ac:dyDescent="0.35">
      <c r="A28" s="8">
        <v>44085</v>
      </c>
      <c r="B28" s="10">
        <v>6.94</v>
      </c>
      <c r="C28" s="10">
        <v>7</v>
      </c>
      <c r="D28" s="10">
        <v>6.85</v>
      </c>
      <c r="E28" s="10">
        <v>7</v>
      </c>
      <c r="F28" s="10">
        <v>7</v>
      </c>
      <c r="G28">
        <v>55080600</v>
      </c>
      <c r="H28" s="10">
        <f>IF(tbl_F[[#This Row],[Date]]=$A$5, $F28, EMA_Beta*$H27 + (1-EMA_Beta)*$F28)</f>
        <v>6.9393506717736582</v>
      </c>
      <c r="I28" s="46">
        <f ca="1">IF(tbl_F[[#This Row],[RS]]= "", "", 100-(100/(1+tbl_F[[#This Row],[RS]])))</f>
        <v>62.142857142857132</v>
      </c>
      <c r="J28" s="10">
        <f ca="1">IF(ROW($N28)-4&lt;BB_Periods, "", AVERAGE(INDIRECT(ADDRESS(ROW($F28)-RSI_Periods +1, MATCH("Adj Close", Price_Header,0))): INDIRECT(ADDRESS(ROW($F28),MATCH("Adj Close", Price_Header,0)))))</f>
        <v>6.9157142857142864</v>
      </c>
      <c r="K28" s="10">
        <f ca="1">IF(tbl_F[[#This Row],[BB_Mean]]="", "", tbl_F[[#This Row],[BB_Mean]]+(BB_Width*tbl_F[[#This Row],[BB_Stdev]]))</f>
        <v>7.056855630191655</v>
      </c>
      <c r="L28" s="10">
        <f ca="1">IF(tbl_F[[#This Row],[BB_Mean]]="", "", tbl_F[[#This Row],[BB_Mean]]-(BB_Width*tbl_F[[#This Row],[BB_Stdev]]))</f>
        <v>6.7745729412369178</v>
      </c>
      <c r="M28" s="46">
        <f>IF(ROW(tbl_F[[#This Row],[Adj Close]])=5, 0, $F28-$F27)</f>
        <v>8.9999999999999858E-2</v>
      </c>
      <c r="N28" s="46">
        <f>MAX(tbl_F[[#This Row],[Move]],0)</f>
        <v>8.9999999999999858E-2</v>
      </c>
      <c r="O28" s="46">
        <f>MAX(-tbl_F[[#This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6.2142857142857152E-2</v>
      </c>
      <c r="Q28" s="46">
        <f ca="1">IF(ROW($O28)-5&lt;RSI_Periods, "", AVERAGE(INDIRECT(ADDRESS(ROW($O28)-RSI_Periods +1, MATCH("Downmove", Price_Header,0))): INDIRECT(ADDRESS(ROW($O28),MATCH("Downmove", Price_Header,0)))))</f>
        <v>3.7857142857142874E-2</v>
      </c>
      <c r="R28" s="46">
        <f ca="1">IF(tbl_F[[#This Row],[Avg_Upmove]]="", "", tbl_F[[#This Row],[Avg_Upmove]]/tbl_F[[#This Row],[Avg_Downmove]])</f>
        <v>1.6415094339622638</v>
      </c>
      <c r="S28" s="10">
        <f ca="1">IF(ROW($N28)-4&lt;BB_Periods, "", _xlfn.STDEV.S(INDIRECT(ADDRESS(ROW($F28)-RSI_Periods +1, MATCH("Adj Close", Price_Header,0))): INDIRECT(ADDRESS(ROW($F28),MATCH("Adj Close", Price_Header,0)))))</f>
        <v>7.0570672238684087E-2</v>
      </c>
    </row>
    <row r="29" spans="1:19" x14ac:dyDescent="0.35">
      <c r="A29" s="8">
        <v>44088</v>
      </c>
      <c r="B29" s="10">
        <v>7.01</v>
      </c>
      <c r="C29" s="10">
        <v>7.18</v>
      </c>
      <c r="D29" s="10">
        <v>6.98</v>
      </c>
      <c r="E29" s="10">
        <v>7.12</v>
      </c>
      <c r="F29" s="10">
        <v>7.12</v>
      </c>
      <c r="G29">
        <v>58704300</v>
      </c>
      <c r="H29" s="10">
        <f>IF(tbl_F[[#This Row],[Date]]=$A$5, $F29, EMA_Beta*$H28 + (1-EMA_Beta)*$F29)</f>
        <v>6.9574156045962923</v>
      </c>
      <c r="I29" s="46">
        <f ca="1">IF(tbl_F[[#This Row],[RS]]= "", "", 100-(100/(1+tbl_F[[#This Row],[RS]])))</f>
        <v>55.833333333333321</v>
      </c>
      <c r="J29" s="10">
        <f ca="1">IF(ROW($N29)-4&lt;BB_Periods, "", AVERAGE(INDIRECT(ADDRESS(ROW($F29)-RSI_Periods +1, MATCH("Adj Close", Price_Header,0))): INDIRECT(ADDRESS(ROW($F29),MATCH("Adj Close", Price_Header,0)))))</f>
        <v>6.9257142857142862</v>
      </c>
      <c r="K29" s="10">
        <f ca="1">IF(tbl_F[[#This Row],[BB_Mean]]="", "", tbl_F[[#This Row],[BB_Mean]]+(BB_Width*tbl_F[[#This Row],[BB_Stdev]]))</f>
        <v>7.1019508899125645</v>
      </c>
      <c r="L29" s="10">
        <f ca="1">IF(tbl_F[[#This Row],[BB_Mean]]="", "", tbl_F[[#This Row],[BB_Mean]]-(BB_Width*tbl_F[[#This Row],[BB_Stdev]]))</f>
        <v>6.7494776815160078</v>
      </c>
      <c r="M29" s="46">
        <f>IF(ROW(tbl_F[[#This Row],[Adj Close]])=5, 0, $F29-$F28)</f>
        <v>0.12000000000000011</v>
      </c>
      <c r="N29" s="46">
        <f>MAX(tbl_F[[#This Row],[Move]],0)</f>
        <v>0.12000000000000011</v>
      </c>
      <c r="O29" s="46">
        <f>MAX(-tbl_F[[#This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4.7857142857142855E-2</v>
      </c>
      <c r="Q29" s="46">
        <f ca="1">IF(ROW($O29)-5&lt;RSI_Periods, "", AVERAGE(INDIRECT(ADDRESS(ROW($O29)-RSI_Periods +1, MATCH("Downmove", Price_Header,0))): INDIRECT(ADDRESS(ROW($O29),MATCH("Downmove", Price_Header,0)))))</f>
        <v>3.7857142857142874E-2</v>
      </c>
      <c r="R29" s="46">
        <f ca="1">IF(tbl_F[[#This Row],[Avg_Upmove]]="", "", tbl_F[[#This Row],[Avg_Upmove]]/tbl_F[[#This Row],[Avg_Downmove]])</f>
        <v>1.2641509433962257</v>
      </c>
      <c r="S29" s="10">
        <f ca="1">IF(ROW($N29)-4&lt;BB_Periods, "", _xlfn.STDEV.S(INDIRECT(ADDRESS(ROW($F29)-RSI_Periods +1, MATCH("Adj Close", Price_Header,0))): INDIRECT(ADDRESS(ROW($F29),MATCH("Adj Close", Price_Header,0)))))</f>
        <v>8.8118302099139179E-2</v>
      </c>
    </row>
    <row r="30" spans="1:19" x14ac:dyDescent="0.35">
      <c r="A30" s="8">
        <v>44089</v>
      </c>
      <c r="B30" s="10">
        <v>7.16</v>
      </c>
      <c r="C30" s="10">
        <v>7.18</v>
      </c>
      <c r="D30" s="10">
        <v>7</v>
      </c>
      <c r="E30" s="10">
        <v>7.04</v>
      </c>
      <c r="F30" s="10">
        <v>7.04</v>
      </c>
      <c r="G30">
        <v>65198500</v>
      </c>
      <c r="H30" s="10">
        <f>IF(tbl_F[[#This Row],[Date]]=$A$5, $F30, EMA_Beta*$H29 + (1-EMA_Beta)*$F30)</f>
        <v>6.9656740441366631</v>
      </c>
      <c r="I30" s="46">
        <f ca="1">IF(tbl_F[[#This Row],[RS]]= "", "", 100-(100/(1+tbl_F[[#This Row],[RS]])))</f>
        <v>54.032258064516114</v>
      </c>
      <c r="J30" s="10">
        <f ca="1">IF(ROW($N30)-4&lt;BB_Periods, "", AVERAGE(INDIRECT(ADDRESS(ROW($F30)-RSI_Periods +1, MATCH("Adj Close", Price_Header,0))): INDIRECT(ADDRESS(ROW($F30),MATCH("Adj Close", Price_Header,0)))))</f>
        <v>6.9328571428571442</v>
      </c>
      <c r="K30" s="10">
        <f ca="1">IF(tbl_F[[#This Row],[BB_Mean]]="", "", tbl_F[[#This Row],[BB_Mean]]+(BB_Width*tbl_F[[#This Row],[BB_Stdev]]))</f>
        <v>7.1193929420904398</v>
      </c>
      <c r="L30" s="10">
        <f ca="1">IF(tbl_F[[#This Row],[BB_Mean]]="", "", tbl_F[[#This Row],[BB_Mean]]-(BB_Width*tbl_F[[#This Row],[BB_Stdev]]))</f>
        <v>6.7463213436238485</v>
      </c>
      <c r="M30" s="46">
        <f>IF(ROW(tbl_F[[#This Row],[Adj Close]])=5, 0, $F30-$F29)</f>
        <v>-8.0000000000000071E-2</v>
      </c>
      <c r="N30" s="46">
        <f>MAX(tbl_F[[#This Row],[Move]],0)</f>
        <v>0</v>
      </c>
      <c r="O30" s="46">
        <f>MAX(-tbl_F[[#This Row],[Move]],0)</f>
        <v>8.0000000000000071E-2</v>
      </c>
      <c r="P30" s="46">
        <f ca="1">IF(ROW($N30)-5&lt;RSI_Periods, "", AVERAGE(INDIRECT(ADDRESS(ROW($N30)-RSI_Periods +1, MATCH("Upmove", Price_Header,0))): INDIRECT(ADDRESS(ROW($N30),MATCH("Upmove", Price_Header,0)))))</f>
        <v>4.7857142857142855E-2</v>
      </c>
      <c r="Q30" s="46">
        <f ca="1">IF(ROW($O30)-5&lt;RSI_Periods, "", AVERAGE(INDIRECT(ADDRESS(ROW($O30)-RSI_Periods +1, MATCH("Downmove", Price_Header,0))): INDIRECT(ADDRESS(ROW($O30),MATCH("Downmove", Price_Header,0)))))</f>
        <v>4.0714285714285738E-2</v>
      </c>
      <c r="R30" s="46">
        <f ca="1">IF(tbl_F[[#This Row],[Avg_Upmove]]="", "", tbl_F[[#This Row],[Avg_Upmove]]/tbl_F[[#This Row],[Avg_Downmove]])</f>
        <v>1.1754385964912273</v>
      </c>
      <c r="S30" s="10">
        <f ca="1">IF(ROW($N30)-4&lt;BB_Periods, "", _xlfn.STDEV.S(INDIRECT(ADDRESS(ROW($F30)-RSI_Periods +1, MATCH("Adj Close", Price_Header,0))): INDIRECT(ADDRESS(ROW($F30),MATCH("Adj Close", Price_Header,0)))))</f>
        <v>9.3267899616647776E-2</v>
      </c>
    </row>
    <row r="31" spans="1:19" x14ac:dyDescent="0.35">
      <c r="A31" s="8">
        <v>44090</v>
      </c>
      <c r="B31" s="10">
        <v>7.05</v>
      </c>
      <c r="C31" s="10">
        <v>7.12</v>
      </c>
      <c r="D31" s="10">
        <v>6.99</v>
      </c>
      <c r="E31" s="10">
        <v>7.02</v>
      </c>
      <c r="F31" s="10">
        <v>7.02</v>
      </c>
      <c r="G31">
        <v>46245800</v>
      </c>
      <c r="H31" s="10">
        <f>IF(tbl_F[[#This Row],[Date]]=$A$5, $F31, EMA_Beta*$H30 + (1-EMA_Beta)*$F31)</f>
        <v>6.971106639722997</v>
      </c>
      <c r="I31" s="46">
        <f ca="1">IF(tbl_F[[#This Row],[RS]]= "", "", 100-(100/(1+tbl_F[[#This Row],[RS]])))</f>
        <v>58.771929824561369</v>
      </c>
      <c r="J31" s="10">
        <f ca="1">IF(ROW($N31)-4&lt;BB_Periods, "", AVERAGE(INDIRECT(ADDRESS(ROW($F31)-RSI_Periods +1, MATCH("Adj Close", Price_Header,0))): INDIRECT(ADDRESS(ROW($F31),MATCH("Adj Close", Price_Header,0)))))</f>
        <v>6.9471428571428575</v>
      </c>
      <c r="K31" s="10">
        <f ca="1">IF(tbl_F[[#This Row],[BB_Mean]]="", "", tbl_F[[#This Row],[BB_Mean]]+(BB_Width*tbl_F[[#This Row],[BB_Stdev]]))</f>
        <v>7.1269596136870295</v>
      </c>
      <c r="L31" s="10">
        <f ca="1">IF(tbl_F[[#This Row],[BB_Mean]]="", "", tbl_F[[#This Row],[BB_Mean]]-(BB_Width*tbl_F[[#This Row],[BB_Stdev]]))</f>
        <v>6.7673261005986856</v>
      </c>
      <c r="M31" s="46">
        <f>IF(ROW(tbl_F[[#This Row],[Adj Close]])=5, 0, $F31-$F30)</f>
        <v>-2.0000000000000462E-2</v>
      </c>
      <c r="N31" s="46">
        <f>MAX(tbl_F[[#This Row],[Move]],0)</f>
        <v>0</v>
      </c>
      <c r="O31" s="46">
        <f>MAX(-tbl_F[[#This Row],[Move]],0)</f>
        <v>2.0000000000000462E-2</v>
      </c>
      <c r="P31" s="46">
        <f ca="1">IF(ROW($N31)-5&lt;RSI_Periods, "", AVERAGE(INDIRECT(ADDRESS(ROW($N31)-RSI_Periods +1, MATCH("Upmove", Price_Header,0))): INDIRECT(ADDRESS(ROW($N31),MATCH("Upmove", Price_Header,0)))))</f>
        <v>4.7857142857142855E-2</v>
      </c>
      <c r="Q31" s="46">
        <f ca="1">IF(ROW($O31)-5&lt;RSI_Periods, "", AVERAGE(INDIRECT(ADDRESS(ROW($O31)-RSI_Periods +1, MATCH("Downmove", Price_Header,0))): INDIRECT(ADDRESS(ROW($O31),MATCH("Downmove", Price_Header,0)))))</f>
        <v>3.357142857142862E-2</v>
      </c>
      <c r="R31" s="46">
        <f ca="1">IF(tbl_F[[#This Row],[Avg_Upmove]]="", "", tbl_F[[#This Row],[Avg_Upmove]]/tbl_F[[#This Row],[Avg_Downmove]])</f>
        <v>1.425531914893615</v>
      </c>
      <c r="S31" s="10">
        <f ca="1">IF(ROW($N31)-4&lt;BB_Periods, "", _xlfn.STDEV.S(INDIRECT(ADDRESS(ROW($F31)-RSI_Periods +1, MATCH("Adj Close", Price_Header,0))): INDIRECT(ADDRESS(ROW($F31),MATCH("Adj Close", Price_Header,0)))))</f>
        <v>8.9908378272085782E-2</v>
      </c>
    </row>
    <row r="32" spans="1:19" x14ac:dyDescent="0.35">
      <c r="A32" s="8">
        <v>44091</v>
      </c>
      <c r="B32" s="10">
        <v>7.04</v>
      </c>
      <c r="C32" s="10">
        <v>7.34</v>
      </c>
      <c r="D32" s="10">
        <v>6.98</v>
      </c>
      <c r="E32" s="10">
        <v>7.28</v>
      </c>
      <c r="F32" s="10">
        <v>7.28</v>
      </c>
      <c r="G32">
        <v>84850100</v>
      </c>
      <c r="H32" s="10">
        <f>IF(tbl_F[[#This Row],[Date]]=$A$5, $F32, EMA_Beta*$H31 + (1-EMA_Beta)*$F32)</f>
        <v>7.0019959757506971</v>
      </c>
      <c r="I32" s="46">
        <f ca="1">IF(tbl_F[[#This Row],[RS]]= "", "", 100-(100/(1+tbl_F[[#This Row],[RS]])))</f>
        <v>64.122137404580144</v>
      </c>
      <c r="J32" s="10">
        <f ca="1">IF(ROW($N32)-4&lt;BB_Periods, "", AVERAGE(INDIRECT(ADDRESS(ROW($F32)-RSI_Periods +1, MATCH("Adj Close", Price_Header,0))): INDIRECT(ADDRESS(ROW($F32),MATCH("Adj Close", Price_Header,0)))))</f>
        <v>6.9735714285714296</v>
      </c>
      <c r="K32" s="10">
        <f ca="1">IF(tbl_F[[#This Row],[BB_Mean]]="", "", tbl_F[[#This Row],[BB_Mean]]+(BB_Width*tbl_F[[#This Row],[BB_Stdev]]))</f>
        <v>7.2245519234135767</v>
      </c>
      <c r="L32" s="10">
        <f ca="1">IF(tbl_F[[#This Row],[BB_Mean]]="", "", tbl_F[[#This Row],[BB_Mean]]-(BB_Width*tbl_F[[#This Row],[BB_Stdev]]))</f>
        <v>6.7225909337292826</v>
      </c>
      <c r="M32" s="46">
        <f>IF(ROW(tbl_F[[#This Row],[Adj Close]])=5, 0, $F32-$F31)</f>
        <v>0.26000000000000068</v>
      </c>
      <c r="N32" s="46">
        <f>MAX(tbl_F[[#This Row],[Move]],0)</f>
        <v>0.26000000000000068</v>
      </c>
      <c r="O32" s="46">
        <f>MAX(-tbl_F[[#This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6.0000000000000053E-2</v>
      </c>
      <c r="Q32" s="46">
        <f ca="1">IF(ROW($O32)-5&lt;RSI_Periods, "", AVERAGE(INDIRECT(ADDRESS(ROW($O32)-RSI_Periods +1, MATCH("Downmove", Price_Header,0))): INDIRECT(ADDRESS(ROW($O32),MATCH("Downmove", Price_Header,0)))))</f>
        <v>3.357142857142862E-2</v>
      </c>
      <c r="R32" s="46">
        <f ca="1">IF(tbl_F[[#This Row],[Avg_Upmove]]="", "", tbl_F[[#This Row],[Avg_Upmove]]/tbl_F[[#This Row],[Avg_Downmove]])</f>
        <v>1.7872340425531905</v>
      </c>
      <c r="S32" s="10">
        <f ca="1">IF(ROW($N32)-4&lt;BB_Periods, "", _xlfn.STDEV.S(INDIRECT(ADDRESS(ROW($F32)-RSI_Periods +1, MATCH("Adj Close", Price_Header,0))): INDIRECT(ADDRESS(ROW($F32),MATCH("Adj Close", Price_Header,0)))))</f>
        <v>0.12549024742107329</v>
      </c>
    </row>
    <row r="33" spans="1:19" x14ac:dyDescent="0.35">
      <c r="A33" s="8">
        <v>44092</v>
      </c>
      <c r="B33" s="10">
        <v>7.31</v>
      </c>
      <c r="C33" s="10">
        <v>7.4</v>
      </c>
      <c r="D33" s="10">
        <v>7.22</v>
      </c>
      <c r="E33" s="10">
        <v>7.23</v>
      </c>
      <c r="F33" s="10">
        <v>7.23</v>
      </c>
      <c r="G33">
        <v>71929400</v>
      </c>
      <c r="H33" s="10">
        <f>IF(tbl_F[[#This Row],[Date]]=$A$5, $F33, EMA_Beta*$H32 + (1-EMA_Beta)*$F33)</f>
        <v>7.0247963781756271</v>
      </c>
      <c r="I33" s="46">
        <f ca="1">IF(tbl_F[[#This Row],[RS]]= "", "", 100-(100/(1+tbl_F[[#This Row],[RS]])))</f>
        <v>60.902255639097731</v>
      </c>
      <c r="J33" s="10">
        <f ca="1">IF(ROW($N33)-4&lt;BB_Periods, "", AVERAGE(INDIRECT(ADDRESS(ROW($F33)-RSI_Periods +1, MATCH("Adj Close", Price_Header,0))): INDIRECT(ADDRESS(ROW($F33),MATCH("Adj Close", Price_Header,0)))))</f>
        <v>6.9942857142857155</v>
      </c>
      <c r="K33" s="10">
        <f ca="1">IF(tbl_F[[#This Row],[BB_Mean]]="", "", tbl_F[[#This Row],[BB_Mean]]+(BB_Width*tbl_F[[#This Row],[BB_Stdev]]))</f>
        <v>7.2789408941587883</v>
      </c>
      <c r="L33" s="10">
        <f ca="1">IF(tbl_F[[#This Row],[BB_Mean]]="", "", tbl_F[[#This Row],[BB_Mean]]-(BB_Width*tbl_F[[#This Row],[BB_Stdev]]))</f>
        <v>6.7096305344126428</v>
      </c>
      <c r="M33" s="46">
        <f>IF(ROW(tbl_F[[#This Row],[Adj Close]])=5, 0, $F33-$F32)</f>
        <v>-4.9999999999999822E-2</v>
      </c>
      <c r="N33" s="46">
        <f>MAX(tbl_F[[#This Row],[Move]],0)</f>
        <v>0</v>
      </c>
      <c r="O33" s="46">
        <f>MAX(-tbl_F[[#This Row],[Move]],0)</f>
        <v>4.9999999999999822E-2</v>
      </c>
      <c r="P33" s="46">
        <f ca="1">IF(ROW($N33)-5&lt;RSI_Periods, "", AVERAGE(INDIRECT(ADDRESS(ROW($N33)-RSI_Periods +1, MATCH("Upmove", Price_Header,0))): INDIRECT(ADDRESS(ROW($N33),MATCH("Upmove", Price_Header,0)))))</f>
        <v>5.7857142857142892E-2</v>
      </c>
      <c r="Q33" s="46">
        <f ca="1">IF(ROW($O33)-5&lt;RSI_Periods, "", AVERAGE(INDIRECT(ADDRESS(ROW($O33)-RSI_Periods +1, MATCH("Downmove", Price_Header,0))): INDIRECT(ADDRESS(ROW($O33),MATCH("Downmove", Price_Header,0)))))</f>
        <v>3.7142857142857179E-2</v>
      </c>
      <c r="R33" s="46">
        <f ca="1">IF(tbl_F[[#This Row],[Avg_Upmove]]="", "", tbl_F[[#This Row],[Avg_Upmove]]/tbl_F[[#This Row],[Avg_Downmove]])</f>
        <v>1.557692307692307</v>
      </c>
      <c r="S33" s="10">
        <f ca="1">IF(ROW($N33)-4&lt;BB_Periods, "", _xlfn.STDEV.S(INDIRECT(ADDRESS(ROW($F33)-RSI_Periods +1, MATCH("Adj Close", Price_Header,0))): INDIRECT(ADDRESS(ROW($F33),MATCH("Adj Close", Price_Header,0)))))</f>
        <v>0.14232758993653641</v>
      </c>
    </row>
    <row r="34" spans="1:19" x14ac:dyDescent="0.35">
      <c r="A34" s="8">
        <v>44095</v>
      </c>
      <c r="B34" s="10">
        <v>7.09</v>
      </c>
      <c r="C34" s="10">
        <v>7.09</v>
      </c>
      <c r="D34" s="10">
        <v>6.81</v>
      </c>
      <c r="E34" s="10">
        <v>6.87</v>
      </c>
      <c r="F34" s="10">
        <v>6.87</v>
      </c>
      <c r="G34">
        <v>72850300</v>
      </c>
      <c r="H34" s="10">
        <f>IF(tbl_F[[#This Row],[Date]]=$A$5, $F34, EMA_Beta*$H33 + (1-EMA_Beta)*$F34)</f>
        <v>7.0093167403580647</v>
      </c>
      <c r="I34" s="46">
        <f ca="1">IF(tbl_F[[#This Row],[RS]]= "", "", 100-(100/(1+tbl_F[[#This Row],[RS]])))</f>
        <v>51.592356687898082</v>
      </c>
      <c r="J34" s="10">
        <f ca="1">IF(ROW($N34)-4&lt;BB_Periods, "", AVERAGE(INDIRECT(ADDRESS(ROW($F34)-RSI_Periods +1, MATCH("Adj Close", Price_Header,0))): INDIRECT(ADDRESS(ROW($F34),MATCH("Adj Close", Price_Header,0)))))</f>
        <v>6.9978571428571428</v>
      </c>
      <c r="K34" s="10">
        <f ca="1">IF(tbl_F[[#This Row],[BB_Mean]]="", "", tbl_F[[#This Row],[BB_Mean]]+(BB_Width*tbl_F[[#This Row],[BB_Stdev]]))</f>
        <v>7.2742268586007821</v>
      </c>
      <c r="L34" s="10">
        <f ca="1">IF(tbl_F[[#This Row],[BB_Mean]]="", "", tbl_F[[#This Row],[BB_Mean]]-(BB_Width*tbl_F[[#This Row],[BB_Stdev]]))</f>
        <v>6.7214874271135034</v>
      </c>
      <c r="M34" s="46">
        <f>IF(ROW(tbl_F[[#This Row],[Adj Close]])=5, 0, $F34-$F33)</f>
        <v>-0.36000000000000032</v>
      </c>
      <c r="N34" s="46">
        <f>MAX(tbl_F[[#This Row],[Move]],0)</f>
        <v>0</v>
      </c>
      <c r="O34" s="46">
        <f>MAX(-tbl_F[[#This Row],[Move]],0)</f>
        <v>0.36000000000000032</v>
      </c>
      <c r="P34" s="46">
        <f ca="1">IF(ROW($N34)-5&lt;RSI_Periods, "", AVERAGE(INDIRECT(ADDRESS(ROW($N34)-RSI_Periods +1, MATCH("Upmove", Price_Header,0))): INDIRECT(ADDRESS(ROW($N34),MATCH("Upmove", Price_Header,0)))))</f>
        <v>5.7857142857142892E-2</v>
      </c>
      <c r="Q34" s="46">
        <f ca="1">IF(ROW($O34)-5&lt;RSI_Periods, "", AVERAGE(INDIRECT(ADDRESS(ROW($O34)-RSI_Periods +1, MATCH("Downmove", Price_Header,0))): INDIRECT(ADDRESS(ROW($O34),MATCH("Downmove", Price_Header,0)))))</f>
        <v>5.4285714285714333E-2</v>
      </c>
      <c r="R34" s="46">
        <f ca="1">IF(tbl_F[[#This Row],[Avg_Upmove]]="", "", tbl_F[[#This Row],[Avg_Upmove]]/tbl_F[[#This Row],[Avg_Downmove]])</f>
        <v>1.0657894736842102</v>
      </c>
      <c r="S34" s="10">
        <f ca="1">IF(ROW($N34)-4&lt;BB_Periods, "", _xlfn.STDEV.S(INDIRECT(ADDRESS(ROW($F34)-RSI_Periods +1, MATCH("Adj Close", Price_Header,0))): INDIRECT(ADDRESS(ROW($F34),MATCH("Adj Close", Price_Header,0)))))</f>
        <v>0.13818485787181947</v>
      </c>
    </row>
    <row r="35" spans="1:19" x14ac:dyDescent="0.35">
      <c r="A35" s="8">
        <v>44096</v>
      </c>
      <c r="B35" s="10">
        <v>6.89</v>
      </c>
      <c r="C35" s="10">
        <v>6.99</v>
      </c>
      <c r="D35" s="10">
        <v>6.77</v>
      </c>
      <c r="E35" s="10">
        <v>6.78</v>
      </c>
      <c r="F35" s="10">
        <v>6.78</v>
      </c>
      <c r="G35">
        <v>55865500</v>
      </c>
      <c r="H35" s="10">
        <f>IF(tbl_F[[#This Row],[Date]]=$A$5, $F35, EMA_Beta*$H34 + (1-EMA_Beta)*$F35)</f>
        <v>6.9863850663222582</v>
      </c>
      <c r="I35" s="46">
        <f ca="1">IF(tbl_F[[#This Row],[RS]]= "", "", 100-(100/(1+tbl_F[[#This Row],[RS]])))</f>
        <v>48.484848484848492</v>
      </c>
      <c r="J35" s="10">
        <f ca="1">IF(ROW($N35)-4&lt;BB_Periods, "", AVERAGE(INDIRECT(ADDRESS(ROW($F35)-RSI_Periods +1, MATCH("Adj Close", Price_Header,0))): INDIRECT(ADDRESS(ROW($F35),MATCH("Adj Close", Price_Header,0)))))</f>
        <v>6.9942857142857147</v>
      </c>
      <c r="K35" s="10">
        <f ca="1">IF(tbl_F[[#This Row],[BB_Mean]]="", "", tbl_F[[#This Row],[BB_Mean]]+(BB_Width*tbl_F[[#This Row],[BB_Stdev]]))</f>
        <v>7.28109460651073</v>
      </c>
      <c r="L35" s="10">
        <f ca="1">IF(tbl_F[[#This Row],[BB_Mean]]="", "", tbl_F[[#This Row],[BB_Mean]]-(BB_Width*tbl_F[[#This Row],[BB_Stdev]]))</f>
        <v>6.7074768220606993</v>
      </c>
      <c r="M35" s="46">
        <f>IF(ROW(tbl_F[[#This Row],[Adj Close]])=5, 0, $F35-$F34)</f>
        <v>-8.9999999999999858E-2</v>
      </c>
      <c r="N35" s="46">
        <f>MAX(tbl_F[[#This Row],[Move]],0)</f>
        <v>0</v>
      </c>
      <c r="O35" s="46">
        <f>MAX(-tbl_F[[#This Row],[Move]],0)</f>
        <v>8.9999999999999858E-2</v>
      </c>
      <c r="P35" s="46">
        <f ca="1">IF(ROW($N35)-5&lt;RSI_Periods, "", AVERAGE(INDIRECT(ADDRESS(ROW($N35)-RSI_Periods +1, MATCH("Upmove", Price_Header,0))): INDIRECT(ADDRESS(ROW($N35),MATCH("Upmove", Price_Header,0)))))</f>
        <v>5.7142857142857197E-2</v>
      </c>
      <c r="Q35" s="46">
        <f ca="1">IF(ROW($O35)-5&lt;RSI_Periods, "", AVERAGE(INDIRECT(ADDRESS(ROW($O35)-RSI_Periods +1, MATCH("Downmove", Price_Header,0))): INDIRECT(ADDRESS(ROW($O35),MATCH("Downmove", Price_Header,0)))))</f>
        <v>6.0714285714285755E-2</v>
      </c>
      <c r="R35" s="46">
        <f ca="1">IF(tbl_F[[#This Row],[Avg_Upmove]]="", "", tbl_F[[#This Row],[Avg_Upmove]]/tbl_F[[#This Row],[Avg_Downmove]])</f>
        <v>0.9411764705882355</v>
      </c>
      <c r="S35" s="10">
        <f ca="1">IF(ROW($N35)-4&lt;BB_Periods, "", _xlfn.STDEV.S(INDIRECT(ADDRESS(ROW($F35)-RSI_Periods +1, MATCH("Adj Close", Price_Header,0))): INDIRECT(ADDRESS(ROW($F35),MATCH("Adj Close", Price_Header,0)))))</f>
        <v>0.14340444611250786</v>
      </c>
    </row>
    <row r="36" spans="1:19" x14ac:dyDescent="0.35">
      <c r="A36" s="8">
        <v>44097</v>
      </c>
      <c r="B36" s="10">
        <v>6.81</v>
      </c>
      <c r="C36" s="10">
        <v>6.93</v>
      </c>
      <c r="D36" s="10">
        <v>6.63</v>
      </c>
      <c r="E36" s="10">
        <v>6.64</v>
      </c>
      <c r="F36" s="10">
        <v>6.64</v>
      </c>
      <c r="G36">
        <v>52588600</v>
      </c>
      <c r="H36" s="10">
        <f>IF(tbl_F[[#This Row],[Date]]=$A$5, $F36, EMA_Beta*$H35 + (1-EMA_Beta)*$F36)</f>
        <v>6.9517465596900321</v>
      </c>
      <c r="I36" s="46">
        <f ca="1">IF(tbl_F[[#This Row],[RS]]= "", "", 100-(100/(1+tbl_F[[#This Row],[RS]])))</f>
        <v>40.718562874251489</v>
      </c>
      <c r="J36" s="10">
        <f ca="1">IF(ROW($N36)-4&lt;BB_Periods, "", AVERAGE(INDIRECT(ADDRESS(ROW($F36)-RSI_Periods +1, MATCH("Adj Close", Price_Header,0))): INDIRECT(ADDRESS(ROW($F36),MATCH("Adj Close", Price_Header,0)))))</f>
        <v>6.972142857142857</v>
      </c>
      <c r="K36" s="10">
        <f ca="1">IF(tbl_F[[#This Row],[BB_Mean]]="", "", tbl_F[[#This Row],[BB_Mean]]+(BB_Width*tbl_F[[#This Row],[BB_Stdev]]))</f>
        <v>7.3158939810171439</v>
      </c>
      <c r="L36" s="10">
        <f ca="1">IF(tbl_F[[#This Row],[BB_Mean]]="", "", tbl_F[[#This Row],[BB_Mean]]-(BB_Width*tbl_F[[#This Row],[BB_Stdev]]))</f>
        <v>6.62839173326857</v>
      </c>
      <c r="M36" s="46">
        <f>IF(ROW(tbl_F[[#This Row],[Adj Close]])=5, 0, $F36-$F35)</f>
        <v>-0.14000000000000057</v>
      </c>
      <c r="N36" s="46">
        <f>MAX(tbl_F[[#This Row],[Move]],0)</f>
        <v>0</v>
      </c>
      <c r="O36" s="46">
        <f>MAX(-tbl_F[[#This Row],[Move]],0)</f>
        <v>0.14000000000000057</v>
      </c>
      <c r="P36" s="46">
        <f ca="1">IF(ROW($N36)-5&lt;RSI_Periods, "", AVERAGE(INDIRECT(ADDRESS(ROW($N36)-RSI_Periods +1, MATCH("Upmove", Price_Header,0))): INDIRECT(ADDRESS(ROW($N36),MATCH("Upmove", Price_Header,0)))))</f>
        <v>4.8571428571428613E-2</v>
      </c>
      <c r="Q36" s="46">
        <f ca="1">IF(ROW($O36)-5&lt;RSI_Periods, "", AVERAGE(INDIRECT(ADDRESS(ROW($O36)-RSI_Periods +1, MATCH("Downmove", Price_Header,0))): INDIRECT(ADDRESS(ROW($O36),MATCH("Downmove", Price_Header,0)))))</f>
        <v>7.0714285714285799E-2</v>
      </c>
      <c r="R36" s="46">
        <f ca="1">IF(tbl_F[[#This Row],[Avg_Upmove]]="", "", tbl_F[[#This Row],[Avg_Upmove]]/tbl_F[[#This Row],[Avg_Downmove]])</f>
        <v>0.68686868686868663</v>
      </c>
      <c r="S36" s="10">
        <f ca="1">IF(ROW($N36)-4&lt;BB_Periods, "", _xlfn.STDEV.S(INDIRECT(ADDRESS(ROW($F36)-RSI_Periods +1, MATCH("Adj Close", Price_Header,0))): INDIRECT(ADDRESS(ROW($F36),MATCH("Adj Close", Price_Header,0)))))</f>
        <v>0.1718755619371434</v>
      </c>
    </row>
    <row r="37" spans="1:19" x14ac:dyDescent="0.35">
      <c r="A37" s="8">
        <v>44098</v>
      </c>
      <c r="B37" s="10">
        <v>6.6</v>
      </c>
      <c r="C37" s="10">
        <v>6.76</v>
      </c>
      <c r="D37" s="10">
        <v>6.41</v>
      </c>
      <c r="E37" s="10">
        <v>6.66</v>
      </c>
      <c r="F37" s="10">
        <v>6.66</v>
      </c>
      <c r="G37">
        <v>59822900</v>
      </c>
      <c r="H37" s="10">
        <f>IF(tbl_F[[#This Row],[Date]]=$A$5, $F37, EMA_Beta*$H36 + (1-EMA_Beta)*$F37)</f>
        <v>6.9225719037210283</v>
      </c>
      <c r="I37" s="46">
        <f ca="1">IF(tbl_F[[#This Row],[RS]]= "", "", 100-(100/(1+tbl_F[[#This Row],[RS]])))</f>
        <v>44.871794871794876</v>
      </c>
      <c r="J37" s="10">
        <f ca="1">IF(ROW($N37)-4&lt;BB_Periods, "", AVERAGE(INDIRECT(ADDRESS(ROW($F37)-RSI_Periods +1, MATCH("Adj Close", Price_Header,0))): INDIRECT(ADDRESS(ROW($F37),MATCH("Adj Close", Price_Header,0)))))</f>
        <v>6.9607142857142863</v>
      </c>
      <c r="K37" s="10">
        <f ca="1">IF(tbl_F[[#This Row],[BB_Mean]]="", "", tbl_F[[#This Row],[BB_Mean]]+(BB_Width*tbl_F[[#This Row],[BB_Stdev]]))</f>
        <v>7.3354933415049492</v>
      </c>
      <c r="L37" s="10">
        <f ca="1">IF(tbl_F[[#This Row],[BB_Mean]]="", "", tbl_F[[#This Row],[BB_Mean]]-(BB_Width*tbl_F[[#This Row],[BB_Stdev]]))</f>
        <v>6.5859352299236233</v>
      </c>
      <c r="M37" s="46">
        <f>IF(ROW(tbl_F[[#This Row],[Adj Close]])=5, 0, $F37-$F36)</f>
        <v>2.0000000000000462E-2</v>
      </c>
      <c r="N37" s="46">
        <f>MAX(tbl_F[[#This Row],[Move]],0)</f>
        <v>2.0000000000000462E-2</v>
      </c>
      <c r="O37" s="46">
        <f>MAX(-tbl_F[[#This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5.0000000000000079E-2</v>
      </c>
      <c r="Q37" s="46">
        <f ca="1">IF(ROW($O37)-5&lt;RSI_Periods, "", AVERAGE(INDIRECT(ADDRESS(ROW($O37)-RSI_Periods +1, MATCH("Downmove", Price_Header,0))): INDIRECT(ADDRESS(ROW($O37),MATCH("Downmove", Price_Header,0)))))</f>
        <v>6.1428571428571513E-2</v>
      </c>
      <c r="R37" s="46">
        <f ca="1">IF(tbl_F[[#This Row],[Avg_Upmove]]="", "", tbl_F[[#This Row],[Avg_Upmove]]/tbl_F[[#This Row],[Avg_Downmove]])</f>
        <v>0.81395348837209325</v>
      </c>
      <c r="S37" s="10">
        <f ca="1">IF(ROW($N37)-4&lt;BB_Periods, "", _xlfn.STDEV.S(INDIRECT(ADDRESS(ROW($F37)-RSI_Periods +1, MATCH("Adj Close", Price_Header,0))): INDIRECT(ADDRESS(ROW($F37),MATCH("Adj Close", Price_Header,0)))))</f>
        <v>0.18738952789533145</v>
      </c>
    </row>
    <row r="38" spans="1:19" x14ac:dyDescent="0.35">
      <c r="A38" s="8">
        <v>44099</v>
      </c>
      <c r="B38" s="10">
        <v>6.61</v>
      </c>
      <c r="C38" s="10">
        <v>6.71</v>
      </c>
      <c r="D38" s="10">
        <v>6.5</v>
      </c>
      <c r="E38" s="10">
        <v>6.51</v>
      </c>
      <c r="F38" s="10">
        <v>6.51</v>
      </c>
      <c r="G38">
        <v>53761800</v>
      </c>
      <c r="H38" s="10">
        <f>IF(tbl_F[[#This Row],[Date]]=$A$5, $F38, EMA_Beta*$H37 + (1-EMA_Beta)*$F38)</f>
        <v>6.8813147133489254</v>
      </c>
      <c r="I38" s="46">
        <f ca="1">IF(tbl_F[[#This Row],[RS]]= "", "", 100-(100/(1+tbl_F[[#This Row],[RS]])))</f>
        <v>38.036809815950924</v>
      </c>
      <c r="J38" s="10">
        <f ca="1">IF(ROW($N38)-4&lt;BB_Periods, "", AVERAGE(INDIRECT(ADDRESS(ROW($F38)-RSI_Periods +1, MATCH("Adj Close", Price_Header,0))): INDIRECT(ADDRESS(ROW($F38),MATCH("Adj Close", Price_Header,0)))))</f>
        <v>6.9328571428571442</v>
      </c>
      <c r="K38" s="10">
        <f ca="1">IF(tbl_F[[#This Row],[BB_Mean]]="", "", tbl_F[[#This Row],[BB_Mean]]+(BB_Width*tbl_F[[#This Row],[BB_Stdev]]))</f>
        <v>7.3783769651859741</v>
      </c>
      <c r="L38" s="10">
        <f ca="1">IF(tbl_F[[#This Row],[BB_Mean]]="", "", tbl_F[[#This Row],[BB_Mean]]-(BB_Width*tbl_F[[#This Row],[BB_Stdev]]))</f>
        <v>6.4873373205283142</v>
      </c>
      <c r="M38" s="46">
        <f>IF(ROW(tbl_F[[#This Row],[Adj Close]])=5, 0, $F38-$F37)</f>
        <v>-0.15000000000000036</v>
      </c>
      <c r="N38" s="46">
        <f>MAX(tbl_F[[#This Row],[Move]],0)</f>
        <v>0</v>
      </c>
      <c r="O38" s="46">
        <f>MAX(-tbl_F[[#This Row],[Move]],0)</f>
        <v>0.15000000000000036</v>
      </c>
      <c r="P38" s="46">
        <f ca="1">IF(ROW($N38)-5&lt;RSI_Periods, "", AVERAGE(INDIRECT(ADDRESS(ROW($N38)-RSI_Periods +1, MATCH("Upmove", Price_Header,0))): INDIRECT(ADDRESS(ROW($N38),MATCH("Upmove", Price_Header,0)))))</f>
        <v>4.4285714285714359E-2</v>
      </c>
      <c r="Q38" s="46">
        <f ca="1">IF(ROW($O38)-5&lt;RSI_Periods, "", AVERAGE(INDIRECT(ADDRESS(ROW($O38)-RSI_Periods +1, MATCH("Downmove", Price_Header,0))): INDIRECT(ADDRESS(ROW($O38),MATCH("Downmove", Price_Header,0)))))</f>
        <v>7.2142857142857258E-2</v>
      </c>
      <c r="R38" s="46">
        <f ca="1">IF(tbl_F[[#This Row],[Avg_Upmove]]="", "", tbl_F[[#This Row],[Avg_Upmove]]/tbl_F[[#This Row],[Avg_Downmove]])</f>
        <v>0.61386138613861385</v>
      </c>
      <c r="S38" s="10">
        <f ca="1">IF(ROW($N38)-4&lt;BB_Periods, "", _xlfn.STDEV.S(INDIRECT(ADDRESS(ROW($F38)-RSI_Periods +1, MATCH("Adj Close", Price_Header,0))): INDIRECT(ADDRESS(ROW($F38),MATCH("Adj Close", Price_Header,0)))))</f>
        <v>0.22275991116441501</v>
      </c>
    </row>
    <row r="39" spans="1:19" x14ac:dyDescent="0.35">
      <c r="A39" s="8">
        <v>44102</v>
      </c>
      <c r="B39" s="10">
        <v>6.59</v>
      </c>
      <c r="C39" s="10">
        <v>6.77</v>
      </c>
      <c r="D39" s="10">
        <v>6.58</v>
      </c>
      <c r="E39" s="10">
        <v>6.69</v>
      </c>
      <c r="F39" s="10">
        <v>6.69</v>
      </c>
      <c r="G39">
        <v>47582600</v>
      </c>
      <c r="H39" s="10">
        <f>IF(tbl_F[[#This Row],[Date]]=$A$5, $F39, EMA_Beta*$H38 + (1-EMA_Beta)*$F39)</f>
        <v>6.8621832420140327</v>
      </c>
      <c r="I39" s="46">
        <f ca="1">IF(tbl_F[[#This Row],[RS]]= "", "", 100-(100/(1+tbl_F[[#This Row],[RS]])))</f>
        <v>39.880952380952401</v>
      </c>
      <c r="J39" s="10">
        <f ca="1">IF(ROW($N39)-4&lt;BB_Periods, "", AVERAGE(INDIRECT(ADDRESS(ROW($F39)-RSI_Periods +1, MATCH("Adj Close", Price_Header,0))): INDIRECT(ADDRESS(ROW($F39),MATCH("Adj Close", Price_Header,0)))))</f>
        <v>6.9085714285714284</v>
      </c>
      <c r="K39" s="10">
        <f ca="1">IF(tbl_F[[#This Row],[BB_Mean]]="", "", tbl_F[[#This Row],[BB_Mean]]+(BB_Width*tbl_F[[#This Row],[BB_Stdev]]))</f>
        <v>7.3681268754885645</v>
      </c>
      <c r="L39" s="10">
        <f ca="1">IF(tbl_F[[#This Row],[BB_Mean]]="", "", tbl_F[[#This Row],[BB_Mean]]-(BB_Width*tbl_F[[#This Row],[BB_Stdev]]))</f>
        <v>6.4490159816542922</v>
      </c>
      <c r="M39" s="46">
        <f>IF(ROW(tbl_F[[#This Row],[Adj Close]])=5, 0, $F39-$F38)</f>
        <v>0.1800000000000006</v>
      </c>
      <c r="N39" s="46">
        <f>MAX(tbl_F[[#This Row],[Move]],0)</f>
        <v>0.1800000000000006</v>
      </c>
      <c r="O39" s="46">
        <f>MAX(-tbl_F[[#This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4.785714285714298E-2</v>
      </c>
      <c r="Q39" s="46">
        <f ca="1">IF(ROW($O39)-5&lt;RSI_Periods, "", AVERAGE(INDIRECT(ADDRESS(ROW($O39)-RSI_Periods +1, MATCH("Downmove", Price_Header,0))): INDIRECT(ADDRESS(ROW($O39),MATCH("Downmove", Price_Header,0)))))</f>
        <v>7.2142857142857258E-2</v>
      </c>
      <c r="R39" s="46">
        <f ca="1">IF(tbl_F[[#This Row],[Avg_Upmove]]="", "", tbl_F[[#This Row],[Avg_Upmove]]/tbl_F[[#This Row],[Avg_Downmove]])</f>
        <v>0.66336633663366396</v>
      </c>
      <c r="S39" s="10">
        <f ca="1">IF(ROW($N39)-4&lt;BB_Periods, "", _xlfn.STDEV.S(INDIRECT(ADDRESS(ROW($F39)-RSI_Periods +1, MATCH("Adj Close", Price_Header,0))): INDIRECT(ADDRESS(ROW($F39),MATCH("Adj Close", Price_Header,0)))))</f>
        <v>0.22977772345856817</v>
      </c>
    </row>
    <row r="40" spans="1:19" x14ac:dyDescent="0.35">
      <c r="A40" s="8">
        <v>44103</v>
      </c>
      <c r="B40" s="10">
        <v>6.69</v>
      </c>
      <c r="C40" s="10">
        <v>6.7</v>
      </c>
      <c r="D40" s="10">
        <v>6.54</v>
      </c>
      <c r="E40" s="10">
        <v>6.6</v>
      </c>
      <c r="F40" s="10">
        <v>6.6</v>
      </c>
      <c r="G40">
        <v>38987300</v>
      </c>
      <c r="H40" s="10">
        <f>IF(tbl_F[[#This Row],[Date]]=$A$5, $F40, EMA_Beta*$H39 + (1-EMA_Beta)*$F40)</f>
        <v>6.83596491781263</v>
      </c>
      <c r="I40" s="46">
        <f ca="1">IF(tbl_F[[#This Row],[RS]]= "", "", 100-(100/(1+tbl_F[[#This Row],[RS]])))</f>
        <v>39.181286549707622</v>
      </c>
      <c r="J40" s="10">
        <f ca="1">IF(ROW($N40)-4&lt;BB_Periods, "", AVERAGE(INDIRECT(ADDRESS(ROW($F40)-RSI_Periods +1, MATCH("Adj Close", Price_Header,0))): INDIRECT(ADDRESS(ROW($F40),MATCH("Adj Close", Price_Header,0)))))</f>
        <v>6.8821428571428571</v>
      </c>
      <c r="K40" s="10">
        <f ca="1">IF(tbl_F[[#This Row],[BB_Mean]]="", "", tbl_F[[#This Row],[BB_Mean]]+(BB_Width*tbl_F[[#This Row],[BB_Stdev]]))</f>
        <v>7.368269056106338</v>
      </c>
      <c r="L40" s="10">
        <f ca="1">IF(tbl_F[[#This Row],[BB_Mean]]="", "", tbl_F[[#This Row],[BB_Mean]]-(BB_Width*tbl_F[[#This Row],[BB_Stdev]]))</f>
        <v>6.3960166581793763</v>
      </c>
      <c r="M40" s="46">
        <f>IF(ROW(tbl_F[[#This Row],[Adj Close]])=5, 0, $F40-$F39)</f>
        <v>-9.0000000000000746E-2</v>
      </c>
      <c r="N40" s="46">
        <f>MAX(tbl_F[[#This Row],[Move]],0)</f>
        <v>0</v>
      </c>
      <c r="O40" s="46">
        <f>MAX(-tbl_F[[#This Row],[Move]],0)</f>
        <v>9.0000000000000746E-2</v>
      </c>
      <c r="P40" s="46">
        <f ca="1">IF(ROW($N40)-5&lt;RSI_Periods, "", AVERAGE(INDIRECT(ADDRESS(ROW($N40)-RSI_Periods +1, MATCH("Upmove", Price_Header,0))): INDIRECT(ADDRESS(ROW($N40),MATCH("Upmove", Price_Header,0)))))</f>
        <v>4.785714285714298E-2</v>
      </c>
      <c r="Q40" s="46">
        <f ca="1">IF(ROW($O40)-5&lt;RSI_Periods, "", AVERAGE(INDIRECT(ADDRESS(ROW($O40)-RSI_Periods +1, MATCH("Downmove", Price_Header,0))): INDIRECT(ADDRESS(ROW($O40),MATCH("Downmove", Price_Header,0)))))</f>
        <v>7.4285714285714413E-2</v>
      </c>
      <c r="R40" s="46">
        <f ca="1">IF(tbl_F[[#This Row],[Avg_Upmove]]="", "", tbl_F[[#This Row],[Avg_Upmove]]/tbl_F[[#This Row],[Avg_Downmove]])</f>
        <v>0.64423076923076983</v>
      </c>
      <c r="S40" s="10">
        <f ca="1">IF(ROW($N40)-4&lt;BB_Periods, "", _xlfn.STDEV.S(INDIRECT(ADDRESS(ROW($F40)-RSI_Periods +1, MATCH("Adj Close", Price_Header,0))): INDIRECT(ADDRESS(ROW($F40),MATCH("Adj Close", Price_Header,0)))))</f>
        <v>0.24306309948174032</v>
      </c>
    </row>
    <row r="41" spans="1:19" x14ac:dyDescent="0.35">
      <c r="A41" s="8">
        <v>44104</v>
      </c>
      <c r="B41" s="10">
        <v>6.61</v>
      </c>
      <c r="C41" s="10">
        <v>6.75</v>
      </c>
      <c r="D41" s="10">
        <v>6.59</v>
      </c>
      <c r="E41" s="10">
        <v>6.66</v>
      </c>
      <c r="F41" s="10">
        <v>6.66</v>
      </c>
      <c r="G41">
        <v>55809500</v>
      </c>
      <c r="H41" s="10">
        <f>IF(tbl_F[[#This Row],[Date]]=$A$5, $F41, EMA_Beta*$H40 + (1-EMA_Beta)*$F41)</f>
        <v>6.8183684260313671</v>
      </c>
      <c r="I41" s="46">
        <f ca="1">IF(tbl_F[[#This Row],[RS]]= "", "", 100-(100/(1+tbl_F[[#This Row],[RS]])))</f>
        <v>42.69005847953219</v>
      </c>
      <c r="J41" s="10">
        <f ca="1">IF(ROW($N41)-4&lt;BB_Periods, "", AVERAGE(INDIRECT(ADDRESS(ROW($F41)-RSI_Periods +1, MATCH("Adj Close", Price_Header,0))): INDIRECT(ADDRESS(ROW($F41),MATCH("Adj Close", Price_Header,0)))))</f>
        <v>6.8642857142857139</v>
      </c>
      <c r="K41" s="10">
        <f ca="1">IF(tbl_F[[#This Row],[BB_Mean]]="", "", tbl_F[[#This Row],[BB_Mean]]+(BB_Width*tbl_F[[#This Row],[BB_Stdev]]))</f>
        <v>7.3641758120973329</v>
      </c>
      <c r="L41" s="10">
        <f ca="1">IF(tbl_F[[#This Row],[BB_Mean]]="", "", tbl_F[[#This Row],[BB_Mean]]-(BB_Width*tbl_F[[#This Row],[BB_Stdev]]))</f>
        <v>6.3643956164740949</v>
      </c>
      <c r="M41" s="46">
        <f>IF(ROW(tbl_F[[#This Row],[Adj Close]])=5, 0, $F41-$F40)</f>
        <v>6.0000000000000497E-2</v>
      </c>
      <c r="N41" s="46">
        <f>MAX(tbl_F[[#This Row],[Move]],0)</f>
        <v>6.0000000000000497E-2</v>
      </c>
      <c r="O41" s="46">
        <f>MAX(-tbl_F[[#This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5.2142857142857303E-2</v>
      </c>
      <c r="Q41" s="46">
        <f ca="1">IF(ROW($O41)-5&lt;RSI_Periods, "", AVERAGE(INDIRECT(ADDRESS(ROW($O41)-RSI_Periods +1, MATCH("Downmove", Price_Header,0))): INDIRECT(ADDRESS(ROW($O41),MATCH("Downmove", Price_Header,0)))))</f>
        <v>7.0000000000000159E-2</v>
      </c>
      <c r="R41" s="46">
        <f ca="1">IF(tbl_F[[#This Row],[Avg_Upmove]]="", "", tbl_F[[#This Row],[Avg_Upmove]]/tbl_F[[#This Row],[Avg_Downmove]])</f>
        <v>0.74489795918367407</v>
      </c>
      <c r="S41" s="10">
        <f ca="1">IF(ROW($N41)-4&lt;BB_Periods, "", _xlfn.STDEV.S(INDIRECT(ADDRESS(ROW($F41)-RSI_Periods +1, MATCH("Adj Close", Price_Header,0))): INDIRECT(ADDRESS(ROW($F41),MATCH("Adj Close", Price_Header,0)))))</f>
        <v>0.24994504890580957</v>
      </c>
    </row>
    <row r="42" spans="1:19" x14ac:dyDescent="0.35">
      <c r="A42" s="8">
        <v>44105</v>
      </c>
      <c r="B42" s="10">
        <v>6.71</v>
      </c>
      <c r="C42" s="10">
        <v>6.77</v>
      </c>
      <c r="D42" s="10">
        <v>6.63</v>
      </c>
      <c r="E42" s="10">
        <v>6.75</v>
      </c>
      <c r="F42" s="10">
        <v>6.75</v>
      </c>
      <c r="G42">
        <v>58340600</v>
      </c>
      <c r="H42" s="10">
        <f>IF(tbl_F[[#This Row],[Date]]=$A$5, $F42, EMA_Beta*$H41 + (1-EMA_Beta)*$F42)</f>
        <v>6.8115315834282306</v>
      </c>
      <c r="I42" s="46">
        <f ca="1">IF(tbl_F[[#This Row],[RS]]= "", "", 100-(100/(1+tbl_F[[#This Row],[RS]])))</f>
        <v>42.69005847953219</v>
      </c>
      <c r="J42" s="10">
        <f ca="1">IF(ROW($N42)-4&lt;BB_Periods, "", AVERAGE(INDIRECT(ADDRESS(ROW($F42)-RSI_Periods +1, MATCH("Adj Close", Price_Header,0))): INDIRECT(ADDRESS(ROW($F42),MATCH("Adj Close", Price_Header,0)))))</f>
        <v>6.8464285714285706</v>
      </c>
      <c r="K42" s="10">
        <f ca="1">IF(tbl_F[[#This Row],[BB_Mean]]="", "", tbl_F[[#This Row],[BB_Mean]]+(BB_Width*tbl_F[[#This Row],[BB_Stdev]]))</f>
        <v>7.3432868327749352</v>
      </c>
      <c r="L42" s="10">
        <f ca="1">IF(tbl_F[[#This Row],[BB_Mean]]="", "", tbl_F[[#This Row],[BB_Mean]]-(BB_Width*tbl_F[[#This Row],[BB_Stdev]]))</f>
        <v>6.3495703100822061</v>
      </c>
      <c r="M42" s="46">
        <f>IF(ROW(tbl_F[[#This Row],[Adj Close]])=5, 0, $F42-$F41)</f>
        <v>8.9999999999999858E-2</v>
      </c>
      <c r="N42" s="46">
        <f>MAX(tbl_F[[#This Row],[Move]],0)</f>
        <v>8.9999999999999858E-2</v>
      </c>
      <c r="O42" s="46">
        <f>MAX(-tbl_F[[#This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5.2142857142857303E-2</v>
      </c>
      <c r="Q42" s="46">
        <f ca="1">IF(ROW($O42)-5&lt;RSI_Periods, "", AVERAGE(INDIRECT(ADDRESS(ROW($O42)-RSI_Periods +1, MATCH("Downmove", Price_Header,0))): INDIRECT(ADDRESS(ROW($O42),MATCH("Downmove", Price_Header,0)))))</f>
        <v>7.0000000000000159E-2</v>
      </c>
      <c r="R42" s="46">
        <f ca="1">IF(tbl_F[[#This Row],[Avg_Upmove]]="", "", tbl_F[[#This Row],[Avg_Upmove]]/tbl_F[[#This Row],[Avg_Downmove]])</f>
        <v>0.74489795918367407</v>
      </c>
      <c r="S42" s="10">
        <f ca="1">IF(ROW($N42)-4&lt;BB_Periods, "", _xlfn.STDEV.S(INDIRECT(ADDRESS(ROW($F42)-RSI_Periods +1, MATCH("Adj Close", Price_Header,0))): INDIRECT(ADDRESS(ROW($F42),MATCH("Adj Close", Price_Header,0)))))</f>
        <v>0.24842913067318215</v>
      </c>
    </row>
    <row r="43" spans="1:19" x14ac:dyDescent="0.35">
      <c r="A43" s="8">
        <v>44106</v>
      </c>
      <c r="B43" s="10">
        <v>6.62</v>
      </c>
      <c r="C43" s="10">
        <v>6.93</v>
      </c>
      <c r="D43" s="10">
        <v>6.6</v>
      </c>
      <c r="E43" s="10">
        <v>6.89</v>
      </c>
      <c r="F43" s="10">
        <v>6.89</v>
      </c>
      <c r="G43">
        <v>60798400</v>
      </c>
      <c r="H43" s="10">
        <f>IF(tbl_F[[#This Row],[Date]]=$A$5, $F43, EMA_Beta*$H42 + (1-EMA_Beta)*$F43)</f>
        <v>6.8193784250854081</v>
      </c>
      <c r="I43" s="46">
        <f ca="1">IF(tbl_F[[#This Row],[RS]]= "", "", 100-(100/(1+tbl_F[[#This Row],[RS]])))</f>
        <v>43.352601156069369</v>
      </c>
      <c r="J43" s="10">
        <f ca="1">IF(ROW($N43)-4&lt;BB_Periods, "", AVERAGE(INDIRECT(ADDRESS(ROW($F43)-RSI_Periods +1, MATCH("Adj Close", Price_Header,0))): INDIRECT(ADDRESS(ROW($F43),MATCH("Adj Close", Price_Header,0)))))</f>
        <v>6.8299999999999992</v>
      </c>
      <c r="K43" s="10">
        <f ca="1">IF(tbl_F[[#This Row],[BB_Mean]]="", "", tbl_F[[#This Row],[BB_Mean]]+(BB_Width*tbl_F[[#This Row],[BB_Stdev]]))</f>
        <v>7.3025055962224554</v>
      </c>
      <c r="L43" s="10">
        <f ca="1">IF(tbl_F[[#This Row],[BB_Mean]]="", "", tbl_F[[#This Row],[BB_Mean]]-(BB_Width*tbl_F[[#This Row],[BB_Stdev]]))</f>
        <v>6.3574944037775429</v>
      </c>
      <c r="M43" s="46">
        <f>IF(ROW(tbl_F[[#This Row],[Adj Close]])=5, 0, $F43-$F42)</f>
        <v>0.13999999999999968</v>
      </c>
      <c r="N43" s="46">
        <f>MAX(tbl_F[[#This Row],[Move]],0)</f>
        <v>0.13999999999999968</v>
      </c>
      <c r="O43" s="46">
        <f>MAX(-tbl_F[[#This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5.35714285714287E-2</v>
      </c>
      <c r="Q43" s="46">
        <f ca="1">IF(ROW($O43)-5&lt;RSI_Periods, "", AVERAGE(INDIRECT(ADDRESS(ROW($O43)-RSI_Periods +1, MATCH("Downmove", Price_Header,0))): INDIRECT(ADDRESS(ROW($O43),MATCH("Downmove", Price_Header,0)))))</f>
        <v>7.0000000000000159E-2</v>
      </c>
      <c r="R43" s="46">
        <f ca="1">IF(tbl_F[[#This Row],[Avg_Upmove]]="", "", tbl_F[[#This Row],[Avg_Upmove]]/tbl_F[[#This Row],[Avg_Downmove]])</f>
        <v>0.76530612244897966</v>
      </c>
      <c r="S43" s="10">
        <f ca="1">IF(ROW($N43)-4&lt;BB_Periods, "", _xlfn.STDEV.S(INDIRECT(ADDRESS(ROW($F43)-RSI_Periods +1, MATCH("Adj Close", Price_Header,0))): INDIRECT(ADDRESS(ROW($F43),MATCH("Adj Close", Price_Header,0)))))</f>
        <v>0.23625279811122801</v>
      </c>
    </row>
    <row r="44" spans="1:19" x14ac:dyDescent="0.35">
      <c r="A44" s="8">
        <v>44109</v>
      </c>
      <c r="B44" s="10">
        <v>6.95</v>
      </c>
      <c r="C44" s="10">
        <v>7.05</v>
      </c>
      <c r="D44" s="10">
        <v>6.95</v>
      </c>
      <c r="E44" s="10">
        <v>7.02</v>
      </c>
      <c r="F44" s="10">
        <v>7.02</v>
      </c>
      <c r="G44">
        <v>42359400</v>
      </c>
      <c r="H44" s="10">
        <f>IF(tbl_F[[#This Row],[Date]]=$A$5, $F44, EMA_Beta*$H43 + (1-EMA_Beta)*$F44)</f>
        <v>6.8394405825768674</v>
      </c>
      <c r="I44" s="46">
        <f ca="1">IF(tbl_F[[#This Row],[RS]]= "", "", 100-(100/(1+tbl_F[[#This Row],[RS]])))</f>
        <v>49.438202247191001</v>
      </c>
      <c r="J44" s="10">
        <f ca="1">IF(ROW($N44)-4&lt;BB_Periods, "", AVERAGE(INDIRECT(ADDRESS(ROW($F44)-RSI_Periods +1, MATCH("Adj Close", Price_Header,0))): INDIRECT(ADDRESS(ROW($F44),MATCH("Adj Close", Price_Header,0)))))</f>
        <v>6.8285714285714283</v>
      </c>
      <c r="K44" s="10">
        <f ca="1">IF(tbl_F[[#This Row],[BB_Mean]]="", "", tbl_F[[#This Row],[BB_Mean]]+(BB_Width*tbl_F[[#This Row],[BB_Stdev]]))</f>
        <v>7.2984556789897725</v>
      </c>
      <c r="L44" s="10">
        <f ca="1">IF(tbl_F[[#This Row],[BB_Mean]]="", "", tbl_F[[#This Row],[BB_Mean]]-(BB_Width*tbl_F[[#This Row],[BB_Stdev]]))</f>
        <v>6.358687178153084</v>
      </c>
      <c r="M44" s="46">
        <f>IF(ROW(tbl_F[[#This Row],[Adj Close]])=5, 0, $F44-$F43)</f>
        <v>0.12999999999999989</v>
      </c>
      <c r="N44" s="46">
        <f>MAX(tbl_F[[#This Row],[Move]],0)</f>
        <v>0.12999999999999989</v>
      </c>
      <c r="O44" s="46">
        <f>MAX(-tbl_F[[#This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6.2857142857142972E-2</v>
      </c>
      <c r="Q44" s="46">
        <f ca="1">IF(ROW($O44)-5&lt;RSI_Periods, "", AVERAGE(INDIRECT(ADDRESS(ROW($O44)-RSI_Periods +1, MATCH("Downmove", Price_Header,0))): INDIRECT(ADDRESS(ROW($O44),MATCH("Downmove", Price_Header,0)))))</f>
        <v>6.4285714285714432E-2</v>
      </c>
      <c r="R44" s="46">
        <f ca="1">IF(tbl_F[[#This Row],[Avg_Upmove]]="", "", tbl_F[[#This Row],[Avg_Upmove]]/tbl_F[[#This Row],[Avg_Downmove]])</f>
        <v>0.9777777777777773</v>
      </c>
      <c r="S44" s="10">
        <f ca="1">IF(ROW($N44)-4&lt;BB_Periods, "", _xlfn.STDEV.S(INDIRECT(ADDRESS(ROW($F44)-RSI_Periods +1, MATCH("Adj Close", Price_Header,0))): INDIRECT(ADDRESS(ROW($F44),MATCH("Adj Close", Price_Header,0)))))</f>
        <v>0.23494212520917196</v>
      </c>
    </row>
    <row r="45" spans="1:19" x14ac:dyDescent="0.35">
      <c r="A45" s="8">
        <v>44110</v>
      </c>
      <c r="B45" s="10">
        <v>7.06</v>
      </c>
      <c r="C45" s="10">
        <v>7.25</v>
      </c>
      <c r="D45" s="10">
        <v>6.96</v>
      </c>
      <c r="E45" s="10">
        <v>6.98</v>
      </c>
      <c r="F45" s="10">
        <v>6.98</v>
      </c>
      <c r="G45">
        <v>78203800</v>
      </c>
      <c r="H45" s="10">
        <f>IF(tbl_F[[#This Row],[Date]]=$A$5, $F45, EMA_Beta*$H44 + (1-EMA_Beta)*$F45)</f>
        <v>6.8534965243191799</v>
      </c>
      <c r="I45" s="46">
        <f ca="1">IF(tbl_F[[#This Row],[RS]]= "", "", 100-(100/(1+tbl_F[[#This Row],[RS]])))</f>
        <v>48.888888888888921</v>
      </c>
      <c r="J45" s="10">
        <f ca="1">IF(ROW($N45)-4&lt;BB_Periods, "", AVERAGE(INDIRECT(ADDRESS(ROW($F45)-RSI_Periods +1, MATCH("Adj Close", Price_Header,0))): INDIRECT(ADDRESS(ROW($F45),MATCH("Adj Close", Price_Header,0)))))</f>
        <v>6.8257142857142856</v>
      </c>
      <c r="K45" s="10">
        <f ca="1">IF(tbl_F[[#This Row],[BB_Mean]]="", "", tbl_F[[#This Row],[BB_Mean]]+(BB_Width*tbl_F[[#This Row],[BB_Stdev]]))</f>
        <v>7.2910488575400461</v>
      </c>
      <c r="L45" s="10">
        <f ca="1">IF(tbl_F[[#This Row],[BB_Mean]]="", "", tbl_F[[#This Row],[BB_Mean]]-(BB_Width*tbl_F[[#This Row],[BB_Stdev]]))</f>
        <v>6.3603797138885252</v>
      </c>
      <c r="M45" s="46">
        <f>IF(ROW(tbl_F[[#This Row],[Adj Close]])=5, 0, $F45-$F44)</f>
        <v>-3.9999999999999147E-2</v>
      </c>
      <c r="N45" s="46">
        <f>MAX(tbl_F[[#This Row],[Move]],0)</f>
        <v>0</v>
      </c>
      <c r="O45" s="46">
        <f>MAX(-tbl_F[[#This Row],[Move]],0)</f>
        <v>3.9999999999999147E-2</v>
      </c>
      <c r="P45" s="46">
        <f ca="1">IF(ROW($N45)-5&lt;RSI_Periods, "", AVERAGE(INDIRECT(ADDRESS(ROW($N45)-RSI_Periods +1, MATCH("Upmove", Price_Header,0))): INDIRECT(ADDRESS(ROW($N45),MATCH("Upmove", Price_Header,0)))))</f>
        <v>6.2857142857142972E-2</v>
      </c>
      <c r="Q45" s="46">
        <f ca="1">IF(ROW($O45)-5&lt;RSI_Periods, "", AVERAGE(INDIRECT(ADDRESS(ROW($O45)-RSI_Periods +1, MATCH("Downmove", Price_Header,0))): INDIRECT(ADDRESS(ROW($O45),MATCH("Downmove", Price_Header,0)))))</f>
        <v>6.5714285714285767E-2</v>
      </c>
      <c r="R45" s="46">
        <f ca="1">IF(tbl_F[[#This Row],[Avg_Upmove]]="", "", tbl_F[[#This Row],[Avg_Upmove]]/tbl_F[[#This Row],[Avg_Downmove]])</f>
        <v>0.95652173913043581</v>
      </c>
      <c r="S45" s="10">
        <f ca="1">IF(ROW($N45)-4&lt;BB_Periods, "", _xlfn.STDEV.S(INDIRECT(ADDRESS(ROW($F45)-RSI_Periods +1, MATCH("Adj Close", Price_Header,0))): INDIRECT(ADDRESS(ROW($F45),MATCH("Adj Close", Price_Header,0)))))</f>
        <v>0.2326672859128803</v>
      </c>
    </row>
    <row r="46" spans="1:19" x14ac:dyDescent="0.35">
      <c r="A46" s="8">
        <v>44111</v>
      </c>
      <c r="B46" s="10">
        <v>7.11</v>
      </c>
      <c r="C46" s="10">
        <v>7.25</v>
      </c>
      <c r="D46" s="10">
        <v>7.06</v>
      </c>
      <c r="E46" s="10">
        <v>7.23</v>
      </c>
      <c r="F46" s="10">
        <v>7.23</v>
      </c>
      <c r="G46">
        <v>50664100</v>
      </c>
      <c r="H46" s="10">
        <f>IF(tbl_F[[#This Row],[Date]]=$A$5, $F46, EMA_Beta*$H45 + (1-EMA_Beta)*$F46)</f>
        <v>6.8911468718872619</v>
      </c>
      <c r="I46" s="46">
        <f ca="1">IF(tbl_F[[#This Row],[RS]]= "", "", 100-(100/(1+tbl_F[[#This Row],[RS]])))</f>
        <v>48.603351955307275</v>
      </c>
      <c r="J46" s="10">
        <f ca="1">IF(ROW($N46)-4&lt;BB_Periods, "", AVERAGE(INDIRECT(ADDRESS(ROW($F46)-RSI_Periods +1, MATCH("Adj Close", Price_Header,0))): INDIRECT(ADDRESS(ROW($F46),MATCH("Adj Close", Price_Header,0)))))</f>
        <v>6.8221428571428575</v>
      </c>
      <c r="K46" s="10">
        <f ca="1">IF(tbl_F[[#This Row],[BB_Mean]]="", "", tbl_F[[#This Row],[BB_Mean]]+(BB_Width*tbl_F[[#This Row],[BB_Stdev]]))</f>
        <v>7.2730004039051668</v>
      </c>
      <c r="L46" s="10">
        <f ca="1">IF(tbl_F[[#This Row],[BB_Mean]]="", "", tbl_F[[#This Row],[BB_Mean]]-(BB_Width*tbl_F[[#This Row],[BB_Stdev]]))</f>
        <v>6.3712853103805482</v>
      </c>
      <c r="M46" s="46">
        <f>IF(ROW(tbl_F[[#This Row],[Adj Close]])=5, 0, $F46-$F45)</f>
        <v>0.25</v>
      </c>
      <c r="N46" s="46">
        <f>MAX(tbl_F[[#This Row],[Move]],0)</f>
        <v>0.25</v>
      </c>
      <c r="O46" s="46">
        <f>MAX(-tbl_F[[#This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6.2142857142857215E-2</v>
      </c>
      <c r="Q46" s="46">
        <f ca="1">IF(ROW($O46)-5&lt;RSI_Periods, "", AVERAGE(INDIRECT(ADDRESS(ROW($O46)-RSI_Periods +1, MATCH("Downmove", Price_Header,0))): INDIRECT(ADDRESS(ROW($O46),MATCH("Downmove", Price_Header,0)))))</f>
        <v>6.5714285714285767E-2</v>
      </c>
      <c r="R46" s="46">
        <f ca="1">IF(tbl_F[[#This Row],[Avg_Upmove]]="", "", tbl_F[[#This Row],[Avg_Upmove]]/tbl_F[[#This Row],[Avg_Downmove]])</f>
        <v>0.94565217391304379</v>
      </c>
      <c r="S46" s="10">
        <f ca="1">IF(ROW($N46)-4&lt;BB_Periods, "", _xlfn.STDEV.S(INDIRECT(ADDRESS(ROW($F46)-RSI_Periods +1, MATCH("Adj Close", Price_Header,0))): INDIRECT(ADDRESS(ROW($F46),MATCH("Adj Close", Price_Header,0)))))</f>
        <v>0.22542877338115455</v>
      </c>
    </row>
    <row r="47" spans="1:19" x14ac:dyDescent="0.35">
      <c r="A47" s="8">
        <v>44112</v>
      </c>
      <c r="B47" s="10">
        <v>7.29</v>
      </c>
      <c r="C47" s="10">
        <v>7.35</v>
      </c>
      <c r="D47" s="10">
        <v>7.2</v>
      </c>
      <c r="E47" s="10">
        <v>7.35</v>
      </c>
      <c r="F47" s="10">
        <v>7.35</v>
      </c>
      <c r="G47">
        <v>54513300</v>
      </c>
      <c r="H47" s="10">
        <f>IF(tbl_F[[#This Row],[Date]]=$A$5, $F47, EMA_Beta*$H46 + (1-EMA_Beta)*$F47)</f>
        <v>6.937032184698535</v>
      </c>
      <c r="I47" s="46">
        <f ca="1">IF(tbl_F[[#This Row],[RS]]= "", "", 100-(100/(1+tbl_F[[#This Row],[RS]])))</f>
        <v>53.225806451612883</v>
      </c>
      <c r="J47" s="10">
        <f ca="1">IF(ROW($N47)-4&lt;BB_Periods, "", AVERAGE(INDIRECT(ADDRESS(ROW($F47)-RSI_Periods +1, MATCH("Adj Close", Price_Header,0))): INDIRECT(ADDRESS(ROW($F47),MATCH("Adj Close", Price_Header,0)))))</f>
        <v>6.8307142857142855</v>
      </c>
      <c r="K47" s="10">
        <f ca="1">IF(tbl_F[[#This Row],[BB_Mean]]="", "", tbl_F[[#This Row],[BB_Mean]]+(BB_Width*tbl_F[[#This Row],[BB_Stdev]]))</f>
        <v>7.3180596401658224</v>
      </c>
      <c r="L47" s="10">
        <f ca="1">IF(tbl_F[[#This Row],[BB_Mean]]="", "", tbl_F[[#This Row],[BB_Mean]]-(BB_Width*tbl_F[[#This Row],[BB_Stdev]]))</f>
        <v>6.3433689312627486</v>
      </c>
      <c r="M47" s="46">
        <f>IF(ROW(tbl_F[[#This Row],[Adj Close]])=5, 0, $F47-$F46)</f>
        <v>0.11999999999999922</v>
      </c>
      <c r="N47" s="46">
        <f>MAX(tbl_F[[#This Row],[Move]],0)</f>
        <v>0.11999999999999922</v>
      </c>
      <c r="O47" s="46">
        <f>MAX(-tbl_F[[#This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7.071428571428573E-2</v>
      </c>
      <c r="Q47" s="46">
        <f ca="1">IF(ROW($O47)-5&lt;RSI_Periods, "", AVERAGE(INDIRECT(ADDRESS(ROW($O47)-RSI_Periods +1, MATCH("Downmove", Price_Header,0))): INDIRECT(ADDRESS(ROW($O47),MATCH("Downmove", Price_Header,0)))))</f>
        <v>6.2142857142857215E-2</v>
      </c>
      <c r="R47" s="46">
        <f ca="1">IF(tbl_F[[#This Row],[Avg_Upmove]]="", "", tbl_F[[#This Row],[Avg_Upmove]]/tbl_F[[#This Row],[Avg_Downmove]])</f>
        <v>1.1379310344827576</v>
      </c>
      <c r="S47" s="10">
        <f ca="1">IF(ROW($N47)-4&lt;BB_Periods, "", _xlfn.STDEV.S(INDIRECT(ADDRESS(ROW($F47)-RSI_Periods +1, MATCH("Adj Close", Price_Header,0))): INDIRECT(ADDRESS(ROW($F47),MATCH("Adj Close", Price_Header,0)))))</f>
        <v>0.24367267722576866</v>
      </c>
    </row>
    <row r="48" spans="1:19" x14ac:dyDescent="0.35">
      <c r="A48" s="8">
        <v>44113</v>
      </c>
      <c r="B48" s="10">
        <v>7.36</v>
      </c>
      <c r="C48" s="10">
        <v>7.44</v>
      </c>
      <c r="D48" s="10">
        <v>7.23</v>
      </c>
      <c r="E48" s="10">
        <v>7.25</v>
      </c>
      <c r="F48" s="10">
        <v>7.25</v>
      </c>
      <c r="G48">
        <v>50977900</v>
      </c>
      <c r="H48" s="10">
        <f>IF(tbl_F[[#This Row],[Date]]=$A$5, $F48, EMA_Beta*$H47 + (1-EMA_Beta)*$F48)</f>
        <v>6.9683289662286816</v>
      </c>
      <c r="I48" s="46">
        <f ca="1">IF(tbl_F[[#This Row],[RS]]= "", "", 100-(100/(1+tbl_F[[#This Row],[RS]])))</f>
        <v>61.874999999999993</v>
      </c>
      <c r="J48" s="10">
        <f ca="1">IF(ROW($N48)-4&lt;BB_Periods, "", AVERAGE(INDIRECT(ADDRESS(ROW($F48)-RSI_Periods +1, MATCH("Adj Close", Price_Header,0))): INDIRECT(ADDRESS(ROW($F48),MATCH("Adj Close", Price_Header,0)))))</f>
        <v>6.8578571428571422</v>
      </c>
      <c r="K48" s="10">
        <f ca="1">IF(tbl_F[[#This Row],[BB_Mean]]="", "", tbl_F[[#This Row],[BB_Mean]]+(BB_Width*tbl_F[[#This Row],[BB_Stdev]]))</f>
        <v>7.3944663587204653</v>
      </c>
      <c r="L48" s="10">
        <f ca="1">IF(tbl_F[[#This Row],[BB_Mean]]="", "", tbl_F[[#This Row],[BB_Mean]]-(BB_Width*tbl_F[[#This Row],[BB_Stdev]]))</f>
        <v>6.3212479269938191</v>
      </c>
      <c r="M48" s="46">
        <f>IF(ROW(tbl_F[[#This Row],[Adj Close]])=5, 0, $F48-$F47)</f>
        <v>-9.9999999999999645E-2</v>
      </c>
      <c r="N48" s="46">
        <f>MAX(tbl_F[[#This Row],[Move]],0)</f>
        <v>0</v>
      </c>
      <c r="O48" s="46">
        <f>MAX(-tbl_F[[#This Row],[Move]],0)</f>
        <v>9.9999999999999645E-2</v>
      </c>
      <c r="P48" s="46">
        <f ca="1">IF(ROW($N48)-5&lt;RSI_Periods, "", AVERAGE(INDIRECT(ADDRESS(ROW($N48)-RSI_Periods +1, MATCH("Upmove", Price_Header,0))): INDIRECT(ADDRESS(ROW($N48),MATCH("Upmove", Price_Header,0)))))</f>
        <v>7.071428571428573E-2</v>
      </c>
      <c r="Q48" s="46">
        <f ca="1">IF(ROW($O48)-5&lt;RSI_Periods, "", AVERAGE(INDIRECT(ADDRESS(ROW($O48)-RSI_Periods +1, MATCH("Downmove", Price_Header,0))): INDIRECT(ADDRESS(ROW($O48),MATCH("Downmove", Price_Header,0)))))</f>
        <v>4.3571428571428594E-2</v>
      </c>
      <c r="R48" s="46">
        <f ca="1">IF(tbl_F[[#This Row],[Avg_Upmove]]="", "", tbl_F[[#This Row],[Avg_Upmove]]/tbl_F[[#This Row],[Avg_Downmove]])</f>
        <v>1.6229508196721307</v>
      </c>
      <c r="S48" s="10">
        <f ca="1">IF(ROW($N48)-4&lt;BB_Periods, "", _xlfn.STDEV.S(INDIRECT(ADDRESS(ROW($F48)-RSI_Periods +1, MATCH("Adj Close", Price_Header,0))): INDIRECT(ADDRESS(ROW($F48),MATCH("Adj Close", Price_Header,0)))))</f>
        <v>0.26830460793166155</v>
      </c>
    </row>
    <row r="49" spans="1:19" x14ac:dyDescent="0.35">
      <c r="A49" s="8">
        <v>44116</v>
      </c>
      <c r="B49" s="10">
        <v>7.36</v>
      </c>
      <c r="C49" s="10">
        <v>7.87</v>
      </c>
      <c r="D49" s="10">
        <v>7.33</v>
      </c>
      <c r="E49" s="10">
        <v>7.67</v>
      </c>
      <c r="F49" s="10">
        <v>7.67</v>
      </c>
      <c r="G49">
        <v>97692900</v>
      </c>
      <c r="H49" s="10">
        <f>IF(tbl_F[[#This Row],[Date]]=$A$5, $F49, EMA_Beta*$H48 + (1-EMA_Beta)*$F49)</f>
        <v>7.038496069605813</v>
      </c>
      <c r="I49" s="46">
        <f ca="1">IF(tbl_F[[#This Row],[RS]]= "", "", 100-(100/(1+tbl_F[[#This Row],[RS]])))</f>
        <v>73.056994818652839</v>
      </c>
      <c r="J49" s="10">
        <f ca="1">IF(ROW($N49)-4&lt;BB_Periods, "", AVERAGE(INDIRECT(ADDRESS(ROW($F49)-RSI_Periods +1, MATCH("Adj Close", Price_Header,0))): INDIRECT(ADDRESS(ROW($F49),MATCH("Adj Close", Price_Header,0)))))</f>
        <v>6.9214285714285717</v>
      </c>
      <c r="K49" s="10">
        <f ca="1">IF(tbl_F[[#This Row],[BB_Mean]]="", "", tbl_F[[#This Row],[BB_Mean]]+(BB_Width*tbl_F[[#This Row],[BB_Stdev]]))</f>
        <v>7.608175961683517</v>
      </c>
      <c r="L49" s="10">
        <f ca="1">IF(tbl_F[[#This Row],[BB_Mean]]="", "", tbl_F[[#This Row],[BB_Mean]]-(BB_Width*tbl_F[[#This Row],[BB_Stdev]]))</f>
        <v>6.2346811811736265</v>
      </c>
      <c r="M49" s="46">
        <f>IF(ROW(tbl_F[[#This Row],[Adj Close]])=5, 0, $F49-$F48)</f>
        <v>0.41999999999999993</v>
      </c>
      <c r="N49" s="46">
        <f>MAX(tbl_F[[#This Row],[Move]],0)</f>
        <v>0.41999999999999993</v>
      </c>
      <c r="O49" s="46">
        <f>MAX(-tbl_F[[#This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0.10071428571428573</v>
      </c>
      <c r="Q49" s="46">
        <f ca="1">IF(ROW($O49)-5&lt;RSI_Periods, "", AVERAGE(INDIRECT(ADDRESS(ROW($O49)-RSI_Periods +1, MATCH("Downmove", Price_Header,0))): INDIRECT(ADDRESS(ROW($O49),MATCH("Downmove", Price_Header,0)))))</f>
        <v>3.7142857142857179E-2</v>
      </c>
      <c r="R49" s="46">
        <f ca="1">IF(tbl_F[[#This Row],[Avg_Upmove]]="", "", tbl_F[[#This Row],[Avg_Upmove]]/tbl_F[[#This Row],[Avg_Downmove]])</f>
        <v>2.7115384615384595</v>
      </c>
      <c r="S49" s="10">
        <f ca="1">IF(ROW($N49)-4&lt;BB_Periods, "", _xlfn.STDEV.S(INDIRECT(ADDRESS(ROW($F49)-RSI_Periods +1, MATCH("Adj Close", Price_Header,0))): INDIRECT(ADDRESS(ROW($F49),MATCH("Adj Close", Price_Header,0)))))</f>
        <v>0.34337369512747257</v>
      </c>
    </row>
    <row r="50" spans="1:19" x14ac:dyDescent="0.35">
      <c r="A50" s="8">
        <v>44117</v>
      </c>
      <c r="B50" s="10">
        <v>7.82</v>
      </c>
      <c r="C50" s="10">
        <v>7.88</v>
      </c>
      <c r="D50" s="10">
        <v>7.63</v>
      </c>
      <c r="E50" s="10">
        <v>7.76</v>
      </c>
      <c r="F50" s="10">
        <v>7.76</v>
      </c>
      <c r="G50">
        <v>74562600</v>
      </c>
      <c r="H50" s="10">
        <f>IF(tbl_F[[#This Row],[Date]]=$A$5, $F50, EMA_Beta*$H49 + (1-EMA_Beta)*$F50)</f>
        <v>7.1106464626452315</v>
      </c>
      <c r="I50" s="46">
        <f ca="1">IF(tbl_F[[#This Row],[RS]]= "", "", 100-(100/(1+tbl_F[[#This Row],[RS]])))</f>
        <v>79.787234042553195</v>
      </c>
      <c r="J50" s="10">
        <f ca="1">IF(ROW($N50)-4&lt;BB_Periods, "", AVERAGE(INDIRECT(ADDRESS(ROW($F50)-RSI_Periods +1, MATCH("Adj Close", Price_Header,0))): INDIRECT(ADDRESS(ROW($F50),MATCH("Adj Close", Price_Header,0)))))</f>
        <v>7.0014285714285718</v>
      </c>
      <c r="K50" s="10">
        <f ca="1">IF(tbl_F[[#This Row],[BB_Mean]]="", "", tbl_F[[#This Row],[BB_Mean]]+(BB_Width*tbl_F[[#This Row],[BB_Stdev]]))</f>
        <v>7.7989577227783808</v>
      </c>
      <c r="L50" s="10">
        <f ca="1">IF(tbl_F[[#This Row],[BB_Mean]]="", "", tbl_F[[#This Row],[BB_Mean]]-(BB_Width*tbl_F[[#This Row],[BB_Stdev]]))</f>
        <v>6.2038994200787627</v>
      </c>
      <c r="M50" s="46">
        <f>IF(ROW(tbl_F[[#This Row],[Adj Close]])=5, 0, $F50-$F49)</f>
        <v>8.9999999999999858E-2</v>
      </c>
      <c r="N50" s="46">
        <f>MAX(tbl_F[[#This Row],[Move]],0)</f>
        <v>8.9999999999999858E-2</v>
      </c>
      <c r="O50" s="46">
        <f>MAX(-tbl_F[[#This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0.10714285714285714</v>
      </c>
      <c r="Q50" s="46">
        <f ca="1">IF(ROW($O50)-5&lt;RSI_Periods, "", AVERAGE(INDIRECT(ADDRESS(ROW($O50)-RSI_Periods +1, MATCH("Downmove", Price_Header,0))): INDIRECT(ADDRESS(ROW($O50),MATCH("Downmove", Price_Header,0)))))</f>
        <v>2.7142857142857135E-2</v>
      </c>
      <c r="R50" s="46">
        <f ca="1">IF(tbl_F[[#This Row],[Avg_Upmove]]="", "", tbl_F[[#This Row],[Avg_Upmove]]/tbl_F[[#This Row],[Avg_Downmove]])</f>
        <v>3.9473684210526323</v>
      </c>
      <c r="S50" s="10">
        <f ca="1">IF(ROW($N50)-4&lt;BB_Periods, "", _xlfn.STDEV.S(INDIRECT(ADDRESS(ROW($F50)-RSI_Periods +1, MATCH("Adj Close", Price_Header,0))): INDIRECT(ADDRESS(ROW($F50),MATCH("Adj Close", Price_Header,0)))))</f>
        <v>0.3987645756749047</v>
      </c>
    </row>
    <row r="51" spans="1:19" x14ac:dyDescent="0.35">
      <c r="A51" s="8">
        <v>44118</v>
      </c>
      <c r="B51" s="10">
        <v>7.73</v>
      </c>
      <c r="C51" s="10">
        <v>7.75</v>
      </c>
      <c r="D51" s="10">
        <v>7.55</v>
      </c>
      <c r="E51" s="10">
        <v>7.57</v>
      </c>
      <c r="F51" s="10">
        <v>7.57</v>
      </c>
      <c r="G51">
        <v>57808900</v>
      </c>
      <c r="H51" s="10">
        <f>IF(tbl_F[[#This Row],[Date]]=$A$5, $F51, EMA_Beta*$H50 + (1-EMA_Beta)*$F51)</f>
        <v>7.156581816380708</v>
      </c>
      <c r="I51" s="46">
        <f ca="1">IF(tbl_F[[#This Row],[RS]]= "", "", 100-(100/(1+tbl_F[[#This Row],[RS]])))</f>
        <v>72.195121951219534</v>
      </c>
      <c r="J51" s="10">
        <f ca="1">IF(ROW($N51)-4&lt;BB_Periods, "", AVERAGE(INDIRECT(ADDRESS(ROW($F51)-RSI_Periods +1, MATCH("Adj Close", Price_Header,0))): INDIRECT(ADDRESS(ROW($F51),MATCH("Adj Close", Price_Header,0)))))</f>
        <v>7.0664285714285722</v>
      </c>
      <c r="K51" s="10">
        <f ca="1">IF(tbl_F[[#This Row],[BB_Mean]]="", "", tbl_F[[#This Row],[BB_Mean]]+(BB_Width*tbl_F[[#This Row],[BB_Stdev]]))</f>
        <v>7.891930083996991</v>
      </c>
      <c r="L51" s="10">
        <f ca="1">IF(tbl_F[[#This Row],[BB_Mean]]="", "", tbl_F[[#This Row],[BB_Mean]]-(BB_Width*tbl_F[[#This Row],[BB_Stdev]]))</f>
        <v>6.2409270588601533</v>
      </c>
      <c r="M51" s="46">
        <f>IF(ROW(tbl_F[[#This Row],[Adj Close]])=5, 0, $F51-$F50)</f>
        <v>-0.1899999999999995</v>
      </c>
      <c r="N51" s="46">
        <f>MAX(tbl_F[[#This Row],[Move]],0)</f>
        <v>0</v>
      </c>
      <c r="O51" s="46">
        <f>MAX(-tbl_F[[#This Row],[Move]],0)</f>
        <v>0.1899999999999995</v>
      </c>
      <c r="P51" s="46">
        <f ca="1">IF(ROW($N51)-5&lt;RSI_Periods, "", AVERAGE(INDIRECT(ADDRESS(ROW($N51)-RSI_Periods +1, MATCH("Upmove", Price_Header,0))): INDIRECT(ADDRESS(ROW($N51),MATCH("Upmove", Price_Header,0)))))</f>
        <v>0.10571428571428568</v>
      </c>
      <c r="Q51" s="46">
        <f ca="1">IF(ROW($O51)-5&lt;RSI_Periods, "", AVERAGE(INDIRECT(ADDRESS(ROW($O51)-RSI_Periods +1, MATCH("Downmove", Price_Header,0))): INDIRECT(ADDRESS(ROW($O51),MATCH("Downmove", Price_Header,0)))))</f>
        <v>4.0714285714285668E-2</v>
      </c>
      <c r="R51" s="46">
        <f ca="1">IF(tbl_F[[#This Row],[Avg_Upmove]]="", "", tbl_F[[#This Row],[Avg_Upmove]]/tbl_F[[#This Row],[Avg_Downmove]])</f>
        <v>2.5964912280701773</v>
      </c>
      <c r="S51" s="10">
        <f ca="1">IF(ROW($N51)-4&lt;BB_Periods, "", _xlfn.STDEV.S(INDIRECT(ADDRESS(ROW($F51)-RSI_Periods +1, MATCH("Adj Close", Price_Header,0))): INDIRECT(ADDRESS(ROW($F51),MATCH("Adj Close", Price_Header,0)))))</f>
        <v>0.41275075628420937</v>
      </c>
    </row>
    <row r="52" spans="1:19" x14ac:dyDescent="0.35">
      <c r="A52" s="8">
        <v>44119</v>
      </c>
      <c r="B52" s="10">
        <v>7.42</v>
      </c>
      <c r="C52" s="10">
        <v>7.62</v>
      </c>
      <c r="D52" s="10">
        <v>7.37</v>
      </c>
      <c r="E52" s="10">
        <v>7.62</v>
      </c>
      <c r="F52" s="10">
        <v>7.62</v>
      </c>
      <c r="G52">
        <v>49336200</v>
      </c>
      <c r="H52" s="10">
        <f>IF(tbl_F[[#This Row],[Date]]=$A$5, $F52, EMA_Beta*$H51 + (1-EMA_Beta)*$F52)</f>
        <v>7.2029236347426373</v>
      </c>
      <c r="I52" s="46">
        <f ca="1">IF(tbl_F[[#This Row],[RS]]= "", "", 100-(100/(1+tbl_F[[#This Row],[RS]])))</f>
        <v>78.461538461538495</v>
      </c>
      <c r="J52" s="10">
        <f ca="1">IF(ROW($N52)-4&lt;BB_Periods, "", AVERAGE(INDIRECT(ADDRESS(ROW($F52)-RSI_Periods +1, MATCH("Adj Close", Price_Header,0))): INDIRECT(ADDRESS(ROW($F52),MATCH("Adj Close", Price_Header,0)))))</f>
        <v>7.1457142857142868</v>
      </c>
      <c r="K52" s="10">
        <f ca="1">IF(tbl_F[[#This Row],[BB_Mean]]="", "", tbl_F[[#This Row],[BB_Mean]]+(BB_Width*tbl_F[[#This Row],[BB_Stdev]]))</f>
        <v>7.9540445413634258</v>
      </c>
      <c r="L52" s="10">
        <f ca="1">IF(tbl_F[[#This Row],[BB_Mean]]="", "", tbl_F[[#This Row],[BB_Mean]]-(BB_Width*tbl_F[[#This Row],[BB_Stdev]]))</f>
        <v>6.3373840300651478</v>
      </c>
      <c r="M52" s="46">
        <f>IF(ROW(tbl_F[[#This Row],[Adj Close]])=5, 0, $F52-$F51)</f>
        <v>4.9999999999999822E-2</v>
      </c>
      <c r="N52" s="46">
        <f>MAX(tbl_F[[#This Row],[Move]],0)</f>
        <v>4.9999999999999822E-2</v>
      </c>
      <c r="O52" s="46">
        <f>MAX(-tbl_F[[#This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0.10928571428571424</v>
      </c>
      <c r="Q52" s="46">
        <f ca="1">IF(ROW($O52)-5&lt;RSI_Periods, "", AVERAGE(INDIRECT(ADDRESS(ROW($O52)-RSI_Periods +1, MATCH("Downmove", Price_Header,0))): INDIRECT(ADDRESS(ROW($O52),MATCH("Downmove", Price_Header,0)))))</f>
        <v>2.9999999999999933E-2</v>
      </c>
      <c r="R52" s="46">
        <f ca="1">IF(tbl_F[[#This Row],[Avg_Upmove]]="", "", tbl_F[[#This Row],[Avg_Upmove]]/tbl_F[[#This Row],[Avg_Downmove]])</f>
        <v>3.6428571428571495</v>
      </c>
      <c r="S52" s="10">
        <f ca="1">IF(ROW($N52)-4&lt;BB_Periods, "", _xlfn.STDEV.S(INDIRECT(ADDRESS(ROW($F52)-RSI_Periods +1, MATCH("Adj Close", Price_Header,0))): INDIRECT(ADDRESS(ROW($F52),MATCH("Adj Close", Price_Header,0)))))</f>
        <v>0.40416512782456943</v>
      </c>
    </row>
    <row r="53" spans="1:19" x14ac:dyDescent="0.35">
      <c r="A53" s="8">
        <v>44120</v>
      </c>
      <c r="B53" s="10">
        <v>7.71</v>
      </c>
      <c r="C53" s="10">
        <v>7.75</v>
      </c>
      <c r="D53" s="10">
        <v>7.61</v>
      </c>
      <c r="E53" s="10">
        <v>7.67</v>
      </c>
      <c r="F53" s="10">
        <v>7.67</v>
      </c>
      <c r="G53">
        <v>47509400</v>
      </c>
      <c r="H53" s="10">
        <f>IF(tbl_F[[#This Row],[Date]]=$A$5, $F53, EMA_Beta*$H52 + (1-EMA_Beta)*$F53)</f>
        <v>7.249631271268373</v>
      </c>
      <c r="I53" s="46">
        <f ca="1">IF(tbl_F[[#This Row],[RS]]= "", "", 100-(100/(1+tbl_F[[#This Row],[RS]])))</f>
        <v>76.923076923076948</v>
      </c>
      <c r="J53" s="10">
        <f ca="1">IF(ROW($N53)-4&lt;BB_Periods, "", AVERAGE(INDIRECT(ADDRESS(ROW($F53)-RSI_Periods +1, MATCH("Adj Close", Price_Header,0))): INDIRECT(ADDRESS(ROW($F53),MATCH("Adj Close", Price_Header,0)))))</f>
        <v>7.2157142857142871</v>
      </c>
      <c r="K53" s="10">
        <f ca="1">IF(tbl_F[[#This Row],[BB_Mean]]="", "", tbl_F[[#This Row],[BB_Mean]]+(BB_Width*tbl_F[[#This Row],[BB_Stdev]]))</f>
        <v>8.0237780412231157</v>
      </c>
      <c r="L53" s="10">
        <f ca="1">IF(tbl_F[[#This Row],[BB_Mean]]="", "", tbl_F[[#This Row],[BB_Mean]]-(BB_Width*tbl_F[[#This Row],[BB_Stdev]]))</f>
        <v>6.4076505302054576</v>
      </c>
      <c r="M53" s="46">
        <f>IF(ROW(tbl_F[[#This Row],[Adj Close]])=5, 0, $F53-$F52)</f>
        <v>4.9999999999999822E-2</v>
      </c>
      <c r="N53" s="46">
        <f>MAX(tbl_F[[#This Row],[Move]],0)</f>
        <v>4.9999999999999822E-2</v>
      </c>
      <c r="O53" s="46">
        <f>MAX(-tbl_F[[#This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9.9999999999999895E-2</v>
      </c>
      <c r="Q53" s="46">
        <f ca="1">IF(ROW($O53)-5&lt;RSI_Periods, "", AVERAGE(INDIRECT(ADDRESS(ROW($O53)-RSI_Periods +1, MATCH("Downmove", Price_Header,0))): INDIRECT(ADDRESS(ROW($O53),MATCH("Downmove", Price_Header,0)))))</f>
        <v>2.9999999999999933E-2</v>
      </c>
      <c r="R53" s="46">
        <f ca="1">IF(tbl_F[[#This Row],[Avg_Upmove]]="", "", tbl_F[[#This Row],[Avg_Upmove]]/tbl_F[[#This Row],[Avg_Downmove]])</f>
        <v>3.3333333333333375</v>
      </c>
      <c r="S53" s="10">
        <f ca="1">IF(ROW($N53)-4&lt;BB_Periods, "", _xlfn.STDEV.S(INDIRECT(ADDRESS(ROW($F53)-RSI_Periods +1, MATCH("Adj Close", Price_Header,0))): INDIRECT(ADDRESS(ROW($F53),MATCH("Adj Close", Price_Header,0)))))</f>
        <v>0.40403187775441468</v>
      </c>
    </row>
    <row r="54" spans="1:19" x14ac:dyDescent="0.35">
      <c r="A54" s="8">
        <v>44123</v>
      </c>
      <c r="B54" s="10">
        <v>7.68</v>
      </c>
      <c r="C54" s="10">
        <v>7.72</v>
      </c>
      <c r="D54" s="10">
        <v>7.57</v>
      </c>
      <c r="E54" s="10">
        <v>7.59</v>
      </c>
      <c r="F54" s="10">
        <v>7.59</v>
      </c>
      <c r="G54">
        <v>38960700</v>
      </c>
      <c r="H54" s="10">
        <f>IF(tbl_F[[#This Row],[Date]]=$A$5, $F54, EMA_Beta*$H53 + (1-EMA_Beta)*$F54)</f>
        <v>7.2836681441415356</v>
      </c>
      <c r="I54" s="46">
        <f ca="1">IF(tbl_F[[#This Row],[RS]]= "", "", 100-(100/(1+tbl_F[[#This Row],[RS]])))</f>
        <v>77.348066298342587</v>
      </c>
      <c r="J54" s="10">
        <f ca="1">IF(ROW($N54)-4&lt;BB_Periods, "", AVERAGE(INDIRECT(ADDRESS(ROW($F54)-RSI_Periods +1, MATCH("Adj Close", Price_Header,0))): INDIRECT(ADDRESS(ROW($F54),MATCH("Adj Close", Price_Header,0)))))</f>
        <v>7.2864285714285719</v>
      </c>
      <c r="K54" s="10">
        <f ca="1">IF(tbl_F[[#This Row],[BB_Mean]]="", "", tbl_F[[#This Row],[BB_Mean]]+(BB_Width*tbl_F[[#This Row],[BB_Stdev]]))</f>
        <v>8.0333445750618555</v>
      </c>
      <c r="L54" s="10">
        <f ca="1">IF(tbl_F[[#This Row],[BB_Mean]]="", "", tbl_F[[#This Row],[BB_Mean]]-(BB_Width*tbl_F[[#This Row],[BB_Stdev]]))</f>
        <v>6.5395125677952874</v>
      </c>
      <c r="M54" s="46">
        <f>IF(ROW(tbl_F[[#This Row],[Adj Close]])=5, 0, $F54-$F53)</f>
        <v>-8.0000000000000071E-2</v>
      </c>
      <c r="N54" s="46">
        <f>MAX(tbl_F[[#This Row],[Move]],0)</f>
        <v>0</v>
      </c>
      <c r="O54" s="46">
        <f>MAX(-tbl_F[[#This Row],[Move]],0)</f>
        <v>8.0000000000000071E-2</v>
      </c>
      <c r="P54" s="46">
        <f ca="1">IF(ROW($N54)-5&lt;RSI_Periods, "", AVERAGE(INDIRECT(ADDRESS(ROW($N54)-RSI_Periods +1, MATCH("Upmove", Price_Header,0))): INDIRECT(ADDRESS(ROW($N54),MATCH("Upmove", Price_Header,0)))))</f>
        <v>9.9999999999999895E-2</v>
      </c>
      <c r="Q54" s="46">
        <f ca="1">IF(ROW($O54)-5&lt;RSI_Periods, "", AVERAGE(INDIRECT(ADDRESS(ROW($O54)-RSI_Periods +1, MATCH("Downmove", Price_Header,0))): INDIRECT(ADDRESS(ROW($O54),MATCH("Downmove", Price_Header,0)))))</f>
        <v>2.9285714285714168E-2</v>
      </c>
      <c r="R54" s="46">
        <f ca="1">IF(tbl_F[[#This Row],[Avg_Upmove]]="", "", tbl_F[[#This Row],[Avg_Upmove]]/tbl_F[[#This Row],[Avg_Downmove]])</f>
        <v>3.4146341463414736</v>
      </c>
      <c r="S54" s="10">
        <f ca="1">IF(ROW($N54)-4&lt;BB_Periods, "", _xlfn.STDEV.S(INDIRECT(ADDRESS(ROW($F54)-RSI_Periods +1, MATCH("Adj Close", Price_Header,0))): INDIRECT(ADDRESS(ROW($F54),MATCH("Adj Close", Price_Header,0)))))</f>
        <v>0.37345800181664218</v>
      </c>
    </row>
    <row r="55" spans="1:19" x14ac:dyDescent="0.35">
      <c r="A55" s="8">
        <v>44124</v>
      </c>
      <c r="B55" s="10">
        <v>7.62</v>
      </c>
      <c r="C55" s="10">
        <v>7.85</v>
      </c>
      <c r="D55" s="10">
        <v>7.58</v>
      </c>
      <c r="E55" s="10">
        <v>7.74</v>
      </c>
      <c r="F55" s="10">
        <v>7.74</v>
      </c>
      <c r="G55">
        <v>63447000</v>
      </c>
      <c r="H55" s="10">
        <f>IF(tbl_F[[#This Row],[Date]]=$A$5, $F55, EMA_Beta*$H54 + (1-EMA_Beta)*$F55)</f>
        <v>7.3293013297273824</v>
      </c>
      <c r="I55" s="46">
        <f ca="1">IF(tbl_F[[#This Row],[RS]]= "", "", 100-(100/(1+tbl_F[[#This Row],[RS]])))</f>
        <v>78.421052631579002</v>
      </c>
      <c r="J55" s="10">
        <f ca="1">IF(ROW($N55)-4&lt;BB_Periods, "", AVERAGE(INDIRECT(ADDRESS(ROW($F55)-RSI_Periods +1, MATCH("Adj Close", Price_Header,0))): INDIRECT(ADDRESS(ROW($F55),MATCH("Adj Close", Price_Header,0)))))</f>
        <v>7.3635714285714284</v>
      </c>
      <c r="K55" s="10">
        <f ca="1">IF(tbl_F[[#This Row],[BB_Mean]]="", "", tbl_F[[#This Row],[BB_Mean]]+(BB_Width*tbl_F[[#This Row],[BB_Stdev]]))</f>
        <v>8.052633540000139</v>
      </c>
      <c r="L55" s="10">
        <f ca="1">IF(tbl_F[[#This Row],[BB_Mean]]="", "", tbl_F[[#This Row],[BB_Mean]]-(BB_Width*tbl_F[[#This Row],[BB_Stdev]]))</f>
        <v>6.674509317142717</v>
      </c>
      <c r="M55" s="46">
        <f>IF(ROW(tbl_F[[#This Row],[Adj Close]])=5, 0, $F55-$F54)</f>
        <v>0.15000000000000036</v>
      </c>
      <c r="N55" s="46">
        <f>MAX(tbl_F[[#This Row],[Move]],0)</f>
        <v>0.15000000000000036</v>
      </c>
      <c r="O55" s="46">
        <f>MAX(-tbl_F[[#This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0.10642857142857132</v>
      </c>
      <c r="Q55" s="46">
        <f ca="1">IF(ROW($O55)-5&lt;RSI_Periods, "", AVERAGE(INDIRECT(ADDRESS(ROW($O55)-RSI_Periods +1, MATCH("Downmove", Price_Header,0))): INDIRECT(ADDRESS(ROW($O55),MATCH("Downmove", Price_Header,0)))))</f>
        <v>2.9285714285714168E-2</v>
      </c>
      <c r="R55" s="46">
        <f ca="1">IF(tbl_F[[#This Row],[Avg_Upmove]]="", "", tbl_F[[#This Row],[Avg_Upmove]]/tbl_F[[#This Row],[Avg_Downmove]])</f>
        <v>3.6341463414634254</v>
      </c>
      <c r="S55" s="10">
        <f ca="1">IF(ROW($N55)-4&lt;BB_Periods, "", _xlfn.STDEV.S(INDIRECT(ADDRESS(ROW($F55)-RSI_Periods +1, MATCH("Adj Close", Price_Header,0))): INDIRECT(ADDRESS(ROW($F55),MATCH("Adj Close", Price_Header,0)))))</f>
        <v>0.34453105571435555</v>
      </c>
    </row>
    <row r="56" spans="1:19" x14ac:dyDescent="0.35">
      <c r="A56" s="8">
        <v>44125</v>
      </c>
      <c r="B56" s="10">
        <v>7.77</v>
      </c>
      <c r="C56" s="10">
        <v>7.88</v>
      </c>
      <c r="D56" s="10">
        <v>7.73</v>
      </c>
      <c r="E56" s="10">
        <v>7.85</v>
      </c>
      <c r="F56" s="10">
        <v>7.85</v>
      </c>
      <c r="G56">
        <v>51981100</v>
      </c>
      <c r="H56" s="10">
        <f>IF(tbl_F[[#This Row],[Date]]=$A$5, $F56, EMA_Beta*$H55 + (1-EMA_Beta)*$F56)</f>
        <v>7.3813711967546443</v>
      </c>
      <c r="I56" s="46">
        <f ca="1">IF(tbl_F[[#This Row],[RS]]= "", "", 100-(100/(1+tbl_F[[#This Row],[RS]])))</f>
        <v>78.645833333333371</v>
      </c>
      <c r="J56" s="10">
        <f ca="1">IF(ROW($N56)-4&lt;BB_Periods, "", AVERAGE(INDIRECT(ADDRESS(ROW($F56)-RSI_Periods +1, MATCH("Adj Close", Price_Header,0))): INDIRECT(ADDRESS(ROW($F56),MATCH("Adj Close", Price_Header,0)))))</f>
        <v>7.4421428571428567</v>
      </c>
      <c r="K56" s="10">
        <f ca="1">IF(tbl_F[[#This Row],[BB_Mean]]="", "", tbl_F[[#This Row],[BB_Mean]]+(BB_Width*tbl_F[[#This Row],[BB_Stdev]]))</f>
        <v>8.0786805384942593</v>
      </c>
      <c r="L56" s="10">
        <f ca="1">IF(tbl_F[[#This Row],[BB_Mean]]="", "", tbl_F[[#This Row],[BB_Mean]]-(BB_Width*tbl_F[[#This Row],[BB_Stdev]]))</f>
        <v>6.8056051757914542</v>
      </c>
      <c r="M56" s="46">
        <f>IF(ROW(tbl_F[[#This Row],[Adj Close]])=5, 0, $F56-$F55)</f>
        <v>0.10999999999999943</v>
      </c>
      <c r="N56" s="46">
        <f>MAX(tbl_F[[#This Row],[Move]],0)</f>
        <v>0.10999999999999943</v>
      </c>
      <c r="O56" s="46">
        <f>MAX(-tbl_F[[#This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0.10785714285714272</v>
      </c>
      <c r="Q56" s="46">
        <f ca="1">IF(ROW($O56)-5&lt;RSI_Periods, "", AVERAGE(INDIRECT(ADDRESS(ROW($O56)-RSI_Periods +1, MATCH("Downmove", Price_Header,0))): INDIRECT(ADDRESS(ROW($O56),MATCH("Downmove", Price_Header,0)))))</f>
        <v>2.9285714285714168E-2</v>
      </c>
      <c r="R56" s="46">
        <f ca="1">IF(tbl_F[[#This Row],[Avg_Upmove]]="", "", tbl_F[[#This Row],[Avg_Upmove]]/tbl_F[[#This Row],[Avg_Downmove]])</f>
        <v>3.6829268292683026</v>
      </c>
      <c r="S56" s="10">
        <f ca="1">IF(ROW($N56)-4&lt;BB_Periods, "", _xlfn.STDEV.S(INDIRECT(ADDRESS(ROW($F56)-RSI_Periods +1, MATCH("Adj Close", Price_Header,0))): INDIRECT(ADDRESS(ROW($F56),MATCH("Adj Close", Price_Header,0)))))</f>
        <v>0.31826884067570127</v>
      </c>
    </row>
    <row r="57" spans="1:19" x14ac:dyDescent="0.35">
      <c r="A57" s="8">
        <v>44126</v>
      </c>
      <c r="B57" s="10">
        <v>7.93</v>
      </c>
      <c r="C57" s="10">
        <v>8.2200000000000006</v>
      </c>
      <c r="D57" s="10">
        <v>7.89</v>
      </c>
      <c r="E57" s="10">
        <v>8.2100000000000009</v>
      </c>
      <c r="F57" s="10">
        <v>8.2100000000000009</v>
      </c>
      <c r="G57">
        <v>74008500</v>
      </c>
      <c r="H57" s="10">
        <f>IF(tbl_F[[#This Row],[Date]]=$A$5, $F57, EMA_Beta*$H56 + (1-EMA_Beta)*$F57)</f>
        <v>7.4642340770791797</v>
      </c>
      <c r="I57" s="46">
        <f ca="1">IF(tbl_F[[#This Row],[RS]]= "", "", 100-(100/(1+tbl_F[[#This Row],[RS]])))</f>
        <v>80.841121495327158</v>
      </c>
      <c r="J57" s="10">
        <f ca="1">IF(ROW($N57)-4&lt;BB_Periods, "", AVERAGE(INDIRECT(ADDRESS(ROW($F57)-RSI_Periods +1, MATCH("Adj Close", Price_Header,0))): INDIRECT(ADDRESS(ROW($F57),MATCH("Adj Close", Price_Header,0)))))</f>
        <v>7.536428571428571</v>
      </c>
      <c r="K57" s="10">
        <f ca="1">IF(tbl_F[[#This Row],[BB_Mean]]="", "", tbl_F[[#This Row],[BB_Mean]]+(BB_Width*tbl_F[[#This Row],[BB_Stdev]]))</f>
        <v>8.2105939080477874</v>
      </c>
      <c r="L57" s="10">
        <f ca="1">IF(tbl_F[[#This Row],[BB_Mean]]="", "", tbl_F[[#This Row],[BB_Mean]]-(BB_Width*tbl_F[[#This Row],[BB_Stdev]]))</f>
        <v>6.8622632348093546</v>
      </c>
      <c r="M57" s="46">
        <f>IF(ROW(tbl_F[[#This Row],[Adj Close]])=5, 0, $F57-$F56)</f>
        <v>0.36000000000000121</v>
      </c>
      <c r="N57" s="46">
        <f>MAX(tbl_F[[#This Row],[Move]],0)</f>
        <v>0.36000000000000121</v>
      </c>
      <c r="O57" s="46">
        <f>MAX(-tbl_F[[#This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0.12357142857142854</v>
      </c>
      <c r="Q57" s="46">
        <f ca="1">IF(ROW($O57)-5&lt;RSI_Periods, "", AVERAGE(INDIRECT(ADDRESS(ROW($O57)-RSI_Periods +1, MATCH("Downmove", Price_Header,0))): INDIRECT(ADDRESS(ROW($O57),MATCH("Downmove", Price_Header,0)))))</f>
        <v>2.9285714285714168E-2</v>
      </c>
      <c r="R57" s="46">
        <f ca="1">IF(tbl_F[[#This Row],[Avg_Upmove]]="", "", tbl_F[[#This Row],[Avg_Upmove]]/tbl_F[[#This Row],[Avg_Downmove]])</f>
        <v>4.2195121951219674</v>
      </c>
      <c r="S57" s="10">
        <f ca="1">IF(ROW($N57)-4&lt;BB_Periods, "", _xlfn.STDEV.S(INDIRECT(ADDRESS(ROW($F57)-RSI_Periods +1, MATCH("Adj Close", Price_Header,0))): INDIRECT(ADDRESS(ROW($F57),MATCH("Adj Close", Price_Header,0)))))</f>
        <v>0.33708266830960815</v>
      </c>
    </row>
    <row r="58" spans="1:19" x14ac:dyDescent="0.35">
      <c r="A58" s="8">
        <v>44127</v>
      </c>
      <c r="B58" s="10">
        <v>8.3000000000000007</v>
      </c>
      <c r="C58" s="10">
        <v>8.35</v>
      </c>
      <c r="D58" s="10">
        <v>8.09</v>
      </c>
      <c r="E58" s="10">
        <v>8.16</v>
      </c>
      <c r="F58" s="10">
        <v>8.16</v>
      </c>
      <c r="G58">
        <v>62249000</v>
      </c>
      <c r="H58" s="10">
        <f>IF(tbl_F[[#This Row],[Date]]=$A$5, $F58, EMA_Beta*$H57 + (1-EMA_Beta)*$F58)</f>
        <v>7.5338106693712614</v>
      </c>
      <c r="I58" s="46">
        <f ca="1">IF(tbl_F[[#This Row],[RS]]= "", "", 100-(100/(1+tbl_F[[#This Row],[RS]])))</f>
        <v>77.669902912621382</v>
      </c>
      <c r="J58" s="10">
        <f ca="1">IF(ROW($N58)-4&lt;BB_Periods, "", AVERAGE(INDIRECT(ADDRESS(ROW($F58)-RSI_Periods +1, MATCH("Adj Close", Price_Header,0))): INDIRECT(ADDRESS(ROW($F58),MATCH("Adj Close", Price_Header,0)))))</f>
        <v>7.6178571428571411</v>
      </c>
      <c r="K58" s="10">
        <f ca="1">IF(tbl_F[[#This Row],[BB_Mean]]="", "", tbl_F[[#This Row],[BB_Mean]]+(BB_Width*tbl_F[[#This Row],[BB_Stdev]]))</f>
        <v>8.2986792057477921</v>
      </c>
      <c r="L58" s="10">
        <f ca="1">IF(tbl_F[[#This Row],[BB_Mean]]="", "", tbl_F[[#This Row],[BB_Mean]]-(BB_Width*tbl_F[[#This Row],[BB_Stdev]]))</f>
        <v>6.9370350799664902</v>
      </c>
      <c r="M58" s="46">
        <f>IF(ROW(tbl_F[[#This Row],[Adj Close]])=5, 0, $F58-$F57)</f>
        <v>-5.0000000000000711E-2</v>
      </c>
      <c r="N58" s="46">
        <f>MAX(tbl_F[[#This Row],[Move]],0)</f>
        <v>0</v>
      </c>
      <c r="O58" s="46">
        <f>MAX(-tbl_F[[#This Row],[Move]],0)</f>
        <v>5.0000000000000711E-2</v>
      </c>
      <c r="P58" s="46">
        <f ca="1">IF(ROW($N58)-5&lt;RSI_Periods, "", AVERAGE(INDIRECT(ADDRESS(ROW($N58)-RSI_Periods +1, MATCH("Upmove", Price_Header,0))): INDIRECT(ADDRESS(ROW($N58),MATCH("Upmove", Price_Header,0)))))</f>
        <v>0.11428571428571425</v>
      </c>
      <c r="Q58" s="46">
        <f ca="1">IF(ROW($O58)-5&lt;RSI_Periods, "", AVERAGE(INDIRECT(ADDRESS(ROW($O58)-RSI_Periods +1, MATCH("Downmove", Price_Header,0))): INDIRECT(ADDRESS(ROW($O58),MATCH("Downmove", Price_Header,0)))))</f>
        <v>3.2857142857142793E-2</v>
      </c>
      <c r="R58" s="46">
        <f ca="1">IF(tbl_F[[#This Row],[Avg_Upmove]]="", "", tbl_F[[#This Row],[Avg_Upmove]]/tbl_F[[#This Row],[Avg_Downmove]])</f>
        <v>3.4782608695652231</v>
      </c>
      <c r="S58" s="10">
        <f ca="1">IF(ROW($N58)-4&lt;BB_Periods, "", _xlfn.STDEV.S(INDIRECT(ADDRESS(ROW($F58)-RSI_Periods +1, MATCH("Adj Close", Price_Header,0))): INDIRECT(ADDRESS(ROW($F58),MATCH("Adj Close", Price_Header,0)))))</f>
        <v>0.34041103144532547</v>
      </c>
    </row>
    <row r="59" spans="1:19" x14ac:dyDescent="0.35">
      <c r="A59" s="8">
        <v>44130</v>
      </c>
      <c r="B59" s="10">
        <v>8.0399999999999991</v>
      </c>
      <c r="C59" s="10">
        <v>8.07</v>
      </c>
      <c r="D59" s="10">
        <v>7.94</v>
      </c>
      <c r="E59" s="10">
        <v>8.0299999999999994</v>
      </c>
      <c r="F59" s="10">
        <v>8.0299999999999994</v>
      </c>
      <c r="G59">
        <v>62131000</v>
      </c>
      <c r="H59" s="10">
        <f>IF(tbl_F[[#This Row],[Date]]=$A$5, $F59, EMA_Beta*$H58 + (1-EMA_Beta)*$F59)</f>
        <v>7.5834296024341352</v>
      </c>
      <c r="I59" s="46">
        <f ca="1">IF(tbl_F[[#This Row],[RS]]= "", "", 100-(100/(1+tbl_F[[#This Row],[RS]])))</f>
        <v>74.418604651162767</v>
      </c>
      <c r="J59" s="10">
        <f ca="1">IF(ROW($N59)-4&lt;BB_Periods, "", AVERAGE(INDIRECT(ADDRESS(ROW($F59)-RSI_Periods +1, MATCH("Adj Close", Price_Header,0))): INDIRECT(ADDRESS(ROW($F59),MATCH("Adj Close", Price_Header,0)))))</f>
        <v>7.6928571428571422</v>
      </c>
      <c r="K59" s="10">
        <f ca="1">IF(tbl_F[[#This Row],[BB_Mean]]="", "", tbl_F[[#This Row],[BB_Mean]]+(BB_Width*tbl_F[[#This Row],[BB_Stdev]]))</f>
        <v>8.2981379332055845</v>
      </c>
      <c r="L59" s="10">
        <f ca="1">IF(tbl_F[[#This Row],[BB_Mean]]="", "", tbl_F[[#This Row],[BB_Mean]]-(BB_Width*tbl_F[[#This Row],[BB_Stdev]]))</f>
        <v>7.0875763525086999</v>
      </c>
      <c r="M59" s="46">
        <f>IF(ROW(tbl_F[[#This Row],[Adj Close]])=5, 0, $F59-$F58)</f>
        <v>-0.13000000000000078</v>
      </c>
      <c r="N59" s="46">
        <f>MAX(tbl_F[[#This Row],[Move]],0)</f>
        <v>0</v>
      </c>
      <c r="O59" s="46">
        <f>MAX(-tbl_F[[#This Row],[Move]],0)</f>
        <v>0.13000000000000078</v>
      </c>
      <c r="P59" s="46">
        <f ca="1">IF(ROW($N59)-5&lt;RSI_Periods, "", AVERAGE(INDIRECT(ADDRESS(ROW($N59)-RSI_Periods +1, MATCH("Upmove", Price_Header,0))): INDIRECT(ADDRESS(ROW($N59),MATCH("Upmove", Price_Header,0)))))</f>
        <v>0.11428571428571425</v>
      </c>
      <c r="Q59" s="46">
        <f ca="1">IF(ROW($O59)-5&lt;RSI_Periods, "", AVERAGE(INDIRECT(ADDRESS(ROW($O59)-RSI_Periods +1, MATCH("Downmove", Price_Header,0))): INDIRECT(ADDRESS(ROW($O59),MATCH("Downmove", Price_Header,0)))))</f>
        <v>3.9285714285714333E-2</v>
      </c>
      <c r="R59" s="46">
        <f ca="1">IF(tbl_F[[#This Row],[Avg_Upmove]]="", "", tbl_F[[#This Row],[Avg_Upmove]]/tbl_F[[#This Row],[Avg_Downmove]])</f>
        <v>2.9090909090909047</v>
      </c>
      <c r="S59" s="10">
        <f ca="1">IF(ROW($N59)-4&lt;BB_Periods, "", _xlfn.STDEV.S(INDIRECT(ADDRESS(ROW($F59)-RSI_Periods +1, MATCH("Adj Close", Price_Header,0))): INDIRECT(ADDRESS(ROW($F59),MATCH("Adj Close", Price_Header,0)))))</f>
        <v>0.30264039517422131</v>
      </c>
    </row>
    <row r="60" spans="1:19" x14ac:dyDescent="0.35">
      <c r="A60" s="8">
        <v>44131</v>
      </c>
      <c r="B60" s="10">
        <v>8.01</v>
      </c>
      <c r="C60" s="10">
        <v>8.09</v>
      </c>
      <c r="D60" s="10">
        <v>7.9</v>
      </c>
      <c r="E60" s="10">
        <v>7.92</v>
      </c>
      <c r="F60" s="10">
        <v>7.92</v>
      </c>
      <c r="G60">
        <v>64154500</v>
      </c>
      <c r="H60" s="10">
        <f>IF(tbl_F[[#This Row],[Date]]=$A$5, $F60, EMA_Beta*$H59 + (1-EMA_Beta)*$F60)</f>
        <v>7.6170866421907215</v>
      </c>
      <c r="I60" s="46">
        <f ca="1">IF(tbl_F[[#This Row],[RS]]= "", "", 100-(100/(1+tbl_F[[#This Row],[RS]])))</f>
        <v>67.164179104477597</v>
      </c>
      <c r="J60" s="10">
        <f ca="1">IF(ROW($N60)-4&lt;BB_Periods, "", AVERAGE(INDIRECT(ADDRESS(ROW($F60)-RSI_Periods +1, MATCH("Adj Close", Price_Header,0))): INDIRECT(ADDRESS(ROW($F60),MATCH("Adj Close", Price_Header,0)))))</f>
        <v>7.7421428571428574</v>
      </c>
      <c r="K60" s="10">
        <f ca="1">IF(tbl_F[[#This Row],[BB_Mean]]="", "", tbl_F[[#This Row],[BB_Mean]]+(BB_Width*tbl_F[[#This Row],[BB_Stdev]]))</f>
        <v>8.295186384233757</v>
      </c>
      <c r="L60" s="10">
        <f ca="1">IF(tbl_F[[#This Row],[BB_Mean]]="", "", tbl_F[[#This Row],[BB_Mean]]-(BB_Width*tbl_F[[#This Row],[BB_Stdev]]))</f>
        <v>7.189099330051957</v>
      </c>
      <c r="M60" s="46">
        <f>IF(ROW(tbl_F[[#This Row],[Adj Close]])=5, 0, $F60-$F59)</f>
        <v>-0.10999999999999943</v>
      </c>
      <c r="N60" s="46">
        <f>MAX(tbl_F[[#This Row],[Move]],0)</f>
        <v>0</v>
      </c>
      <c r="O60" s="46">
        <f>MAX(-tbl_F[[#This Row],[Move]],0)</f>
        <v>0.10999999999999943</v>
      </c>
      <c r="P60" s="46">
        <f ca="1">IF(ROW($N60)-5&lt;RSI_Periods, "", AVERAGE(INDIRECT(ADDRESS(ROW($N60)-RSI_Periods +1, MATCH("Upmove", Price_Header,0))): INDIRECT(ADDRESS(ROW($N60),MATCH("Upmove", Price_Header,0)))))</f>
        <v>9.6428571428571405E-2</v>
      </c>
      <c r="Q60" s="46">
        <f ca="1">IF(ROW($O60)-5&lt;RSI_Periods, "", AVERAGE(INDIRECT(ADDRESS(ROW($O60)-RSI_Periods +1, MATCH("Downmove", Price_Header,0))): INDIRECT(ADDRESS(ROW($O60),MATCH("Downmove", Price_Header,0)))))</f>
        <v>4.7142857142857153E-2</v>
      </c>
      <c r="R60" s="46">
        <f ca="1">IF(tbl_F[[#This Row],[Avg_Upmove]]="", "", tbl_F[[#This Row],[Avg_Upmove]]/tbl_F[[#This Row],[Avg_Downmove]])</f>
        <v>2.0454545454545445</v>
      </c>
      <c r="S60" s="10">
        <f ca="1">IF(ROW($N60)-4&lt;BB_Periods, "", _xlfn.STDEV.S(INDIRECT(ADDRESS(ROW($F60)-RSI_Periods +1, MATCH("Adj Close", Price_Header,0))): INDIRECT(ADDRESS(ROW($F60),MATCH("Adj Close", Price_Header,0)))))</f>
        <v>0.27652176354545005</v>
      </c>
    </row>
    <row r="61" spans="1:19" x14ac:dyDescent="0.35">
      <c r="A61" s="8">
        <v>44132</v>
      </c>
      <c r="B61" s="10">
        <v>7.68</v>
      </c>
      <c r="C61" s="10">
        <v>7.88</v>
      </c>
      <c r="D61" s="10">
        <v>7.63</v>
      </c>
      <c r="E61" s="10">
        <v>7.7</v>
      </c>
      <c r="F61" s="10">
        <v>7.7</v>
      </c>
      <c r="G61">
        <v>82938300</v>
      </c>
      <c r="H61" s="10">
        <f>IF(tbl_F[[#This Row],[Date]]=$A$5, $F61, EMA_Beta*$H60 + (1-EMA_Beta)*$F61)</f>
        <v>7.6253779779716488</v>
      </c>
      <c r="I61" s="46">
        <f ca="1">IF(tbl_F[[#This Row],[RS]]= "", "", 100-(100/(1+tbl_F[[#This Row],[RS]])))</f>
        <v>58.293838862559255</v>
      </c>
      <c r="J61" s="10">
        <f ca="1">IF(ROW($N61)-4&lt;BB_Periods, "", AVERAGE(INDIRECT(ADDRESS(ROW($F61)-RSI_Periods +1, MATCH("Adj Close", Price_Header,0))): INDIRECT(ADDRESS(ROW($F61),MATCH("Adj Close", Price_Header,0)))))</f>
        <v>7.7671428571428578</v>
      </c>
      <c r="K61" s="10">
        <f ca="1">IF(tbl_F[[#This Row],[BB_Mean]]="", "", tbl_F[[#This Row],[BB_Mean]]+(BB_Width*tbl_F[[#This Row],[BB_Stdev]]))</f>
        <v>8.2734980727727603</v>
      </c>
      <c r="L61" s="10">
        <f ca="1">IF(tbl_F[[#This Row],[BB_Mean]]="", "", tbl_F[[#This Row],[BB_Mean]]-(BB_Width*tbl_F[[#This Row],[BB_Stdev]]))</f>
        <v>7.2607876415129553</v>
      </c>
      <c r="M61" s="46">
        <f>IF(ROW(tbl_F[[#This Row],[Adj Close]])=5, 0, $F61-$F60)</f>
        <v>-0.21999999999999975</v>
      </c>
      <c r="N61" s="46">
        <f>MAX(tbl_F[[#This Row],[Move]],0)</f>
        <v>0</v>
      </c>
      <c r="O61" s="46">
        <f>MAX(-tbl_F[[#This Row],[Move]],0)</f>
        <v>0.21999999999999975</v>
      </c>
      <c r="P61" s="46">
        <f ca="1">IF(ROW($N61)-5&lt;RSI_Periods, "", AVERAGE(INDIRECT(ADDRESS(ROW($N61)-RSI_Periods +1, MATCH("Upmove", Price_Header,0))): INDIRECT(ADDRESS(ROW($N61),MATCH("Upmove", Price_Header,0)))))</f>
        <v>8.7857142857142884E-2</v>
      </c>
      <c r="Q61" s="46">
        <f ca="1">IF(ROW($O61)-5&lt;RSI_Periods, "", AVERAGE(INDIRECT(ADDRESS(ROW($O61)-RSI_Periods +1, MATCH("Downmove", Price_Header,0))): INDIRECT(ADDRESS(ROW($O61),MATCH("Downmove", Price_Header,0)))))</f>
        <v>6.2857142857142848E-2</v>
      </c>
      <c r="R61" s="46">
        <f ca="1">IF(tbl_F[[#This Row],[Avg_Upmove]]="", "", tbl_F[[#This Row],[Avg_Upmove]]/tbl_F[[#This Row],[Avg_Downmove]])</f>
        <v>1.3977272727272734</v>
      </c>
      <c r="S61" s="10">
        <f ca="1">IF(ROW($N61)-4&lt;BB_Periods, "", _xlfn.STDEV.S(INDIRECT(ADDRESS(ROW($F61)-RSI_Periods +1, MATCH("Adj Close", Price_Header,0))): INDIRECT(ADDRESS(ROW($F61),MATCH("Adj Close", Price_Header,0)))))</f>
        <v>0.25317760781495102</v>
      </c>
    </row>
    <row r="62" spans="1:19" x14ac:dyDescent="0.35">
      <c r="A62" s="8">
        <v>44133</v>
      </c>
      <c r="B62" s="10">
        <v>8.17</v>
      </c>
      <c r="C62" s="10">
        <v>8.24</v>
      </c>
      <c r="D62" s="10">
        <v>7.85</v>
      </c>
      <c r="E62" s="10">
        <v>7.9</v>
      </c>
      <c r="F62" s="10">
        <v>7.9</v>
      </c>
      <c r="G62">
        <v>118999900</v>
      </c>
      <c r="H62" s="10">
        <f>IF(tbl_F[[#This Row],[Date]]=$A$5, $F62, EMA_Beta*$H61 + (1-EMA_Beta)*$F62)</f>
        <v>7.6528401801744845</v>
      </c>
      <c r="I62" s="46">
        <f ca="1">IF(tbl_F[[#This Row],[RS]]= "", "", 100-(100/(1+tbl_F[[#This Row],[RS]])))</f>
        <v>64.705882352941188</v>
      </c>
      <c r="J62" s="10">
        <f ca="1">IF(ROW($N62)-4&lt;BB_Periods, "", AVERAGE(INDIRECT(ADDRESS(ROW($F62)-RSI_Periods +1, MATCH("Adj Close", Price_Header,0))): INDIRECT(ADDRESS(ROW($F62),MATCH("Adj Close", Price_Header,0)))))</f>
        <v>7.8135714285714295</v>
      </c>
      <c r="K62" s="10">
        <f ca="1">IF(tbl_F[[#This Row],[BB_Mean]]="", "", tbl_F[[#This Row],[BB_Mean]]+(BB_Width*tbl_F[[#This Row],[BB_Stdev]]))</f>
        <v>8.2261883783599075</v>
      </c>
      <c r="L62" s="10">
        <f ca="1">IF(tbl_F[[#This Row],[BB_Mean]]="", "", tbl_F[[#This Row],[BB_Mean]]-(BB_Width*tbl_F[[#This Row],[BB_Stdev]]))</f>
        <v>7.4009544787829515</v>
      </c>
      <c r="M62" s="46">
        <f>IF(ROW(tbl_F[[#This Row],[Adj Close]])=5, 0, $F62-$F61)</f>
        <v>0.20000000000000018</v>
      </c>
      <c r="N62" s="46">
        <f>MAX(tbl_F[[#This Row],[Move]],0)</f>
        <v>0.20000000000000018</v>
      </c>
      <c r="O62" s="46">
        <f>MAX(-tbl_F[[#This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0.10214285714285719</v>
      </c>
      <c r="Q62" s="46">
        <f ca="1">IF(ROW($O62)-5&lt;RSI_Periods, "", AVERAGE(INDIRECT(ADDRESS(ROW($O62)-RSI_Periods +1, MATCH("Downmove", Price_Header,0))): INDIRECT(ADDRESS(ROW($O62),MATCH("Downmove", Price_Header,0)))))</f>
        <v>5.571428571428573E-2</v>
      </c>
      <c r="R62" s="46">
        <f ca="1">IF(tbl_F[[#This Row],[Avg_Upmove]]="", "", tbl_F[[#This Row],[Avg_Upmove]]/tbl_F[[#This Row],[Avg_Downmove]])</f>
        <v>1.8333333333333337</v>
      </c>
      <c r="S62" s="10">
        <f ca="1">IF(ROW($N62)-4&lt;BB_Periods, "", _xlfn.STDEV.S(INDIRECT(ADDRESS(ROW($F62)-RSI_Periods +1, MATCH("Adj Close", Price_Header,0))): INDIRECT(ADDRESS(ROW($F62),MATCH("Adj Close", Price_Header,0)))))</f>
        <v>0.20630847489423898</v>
      </c>
    </row>
    <row r="63" spans="1:19" x14ac:dyDescent="0.35">
      <c r="A63" s="8">
        <v>44134</v>
      </c>
      <c r="B63" s="10">
        <v>7.85</v>
      </c>
      <c r="C63" s="10">
        <v>7.91</v>
      </c>
      <c r="D63" s="10">
        <v>7.61</v>
      </c>
      <c r="E63" s="10">
        <v>7.73</v>
      </c>
      <c r="F63" s="10">
        <v>7.73</v>
      </c>
      <c r="G63">
        <v>79345600</v>
      </c>
      <c r="H63" s="10">
        <f>IF(tbl_F[[#This Row],[Date]]=$A$5, $F63, EMA_Beta*$H62 + (1-EMA_Beta)*$F63)</f>
        <v>7.6605561621570359</v>
      </c>
      <c r="I63" s="46">
        <f ca="1">IF(tbl_F[[#This Row],[RS]]= "", "", 100-(100/(1+tbl_F[[#This Row],[RS]])))</f>
        <v>51.530612244897974</v>
      </c>
      <c r="J63" s="10">
        <f ca="1">IF(ROW($N63)-4&lt;BB_Periods, "", AVERAGE(INDIRECT(ADDRESS(ROW($F63)-RSI_Periods +1, MATCH("Adj Close", Price_Header,0))): INDIRECT(ADDRESS(ROW($F63),MATCH("Adj Close", Price_Header,0)))))</f>
        <v>7.8178571428571439</v>
      </c>
      <c r="K63" s="10">
        <f ca="1">IF(tbl_F[[#This Row],[BB_Mean]]="", "", tbl_F[[#This Row],[BB_Mean]]+(BB_Width*tbl_F[[#This Row],[BB_Stdev]]))</f>
        <v>8.2252638435632317</v>
      </c>
      <c r="L63" s="10">
        <f ca="1">IF(tbl_F[[#This Row],[BB_Mean]]="", "", tbl_F[[#This Row],[BB_Mean]]-(BB_Width*tbl_F[[#This Row],[BB_Stdev]]))</f>
        <v>7.4104504421510562</v>
      </c>
      <c r="M63" s="46">
        <f>IF(ROW(tbl_F[[#This Row],[Adj Close]])=5, 0, $F63-$F62)</f>
        <v>-0.16999999999999993</v>
      </c>
      <c r="N63" s="46">
        <f>MAX(tbl_F[[#This Row],[Move]],0)</f>
        <v>0</v>
      </c>
      <c r="O63" s="46">
        <f>MAX(-tbl_F[[#This Row],[Move]],0)</f>
        <v>0.16999999999999993</v>
      </c>
      <c r="P63" s="46">
        <f ca="1">IF(ROW($N63)-5&lt;RSI_Periods, "", AVERAGE(INDIRECT(ADDRESS(ROW($N63)-RSI_Periods +1, MATCH("Upmove", Price_Header,0))): INDIRECT(ADDRESS(ROW($N63),MATCH("Upmove", Price_Header,0)))))</f>
        <v>7.2142857142857189E-2</v>
      </c>
      <c r="Q63" s="46">
        <f ca="1">IF(ROW($O63)-5&lt;RSI_Periods, "", AVERAGE(INDIRECT(ADDRESS(ROW($O63)-RSI_Periods +1, MATCH("Downmove", Price_Header,0))): INDIRECT(ADDRESS(ROW($O63),MATCH("Downmove", Price_Header,0)))))</f>
        <v>6.7857142857142866E-2</v>
      </c>
      <c r="R63" s="46">
        <f ca="1">IF(tbl_F[[#This Row],[Avg_Upmove]]="", "", tbl_F[[#This Row],[Avg_Upmove]]/tbl_F[[#This Row],[Avg_Downmove]])</f>
        <v>1.0631578947368427</v>
      </c>
      <c r="S63" s="10">
        <f ca="1">IF(ROW($N63)-4&lt;BB_Periods, "", _xlfn.STDEV.S(INDIRECT(ADDRESS(ROW($F63)-RSI_Periods +1, MATCH("Adj Close", Price_Header,0))): INDIRECT(ADDRESS(ROW($F63),MATCH("Adj Close", Price_Header,0)))))</f>
        <v>0.20370335035304393</v>
      </c>
    </row>
    <row r="64" spans="1:19" x14ac:dyDescent="0.35">
      <c r="A64" s="8">
        <v>44137</v>
      </c>
      <c r="B64" s="10">
        <v>7.83</v>
      </c>
      <c r="C64" s="10">
        <v>7.86</v>
      </c>
      <c r="D64" s="10">
        <v>7.68</v>
      </c>
      <c r="E64" s="10">
        <v>7.71</v>
      </c>
      <c r="F64" s="10">
        <v>7.71</v>
      </c>
      <c r="G64">
        <v>59962900</v>
      </c>
      <c r="H64" s="10">
        <f>IF(tbl_F[[#This Row],[Date]]=$A$5, $F64, EMA_Beta*$H63 + (1-EMA_Beta)*$F64)</f>
        <v>7.6655005459413328</v>
      </c>
      <c r="I64" s="46">
        <f ca="1">IF(tbl_F[[#This Row],[RS]]= "", "", 100-(100/(1+tbl_F[[#This Row],[RS]])))</f>
        <v>48.677248677248684</v>
      </c>
      <c r="J64" s="10">
        <f ca="1">IF(ROW($N64)-4&lt;BB_Periods, "", AVERAGE(INDIRECT(ADDRESS(ROW($F64)-RSI_Periods +1, MATCH("Adj Close", Price_Header,0))): INDIRECT(ADDRESS(ROW($F64),MATCH("Adj Close", Price_Header,0)))))</f>
        <v>7.8142857142857149</v>
      </c>
      <c r="K64" s="10">
        <f ca="1">IF(tbl_F[[#This Row],[BB_Mean]]="", "", tbl_F[[#This Row],[BB_Mean]]+(BB_Width*tbl_F[[#This Row],[BB_Stdev]]))</f>
        <v>8.2247424419376394</v>
      </c>
      <c r="L64" s="10">
        <f ca="1">IF(tbl_F[[#This Row],[BB_Mean]]="", "", tbl_F[[#This Row],[BB_Mean]]-(BB_Width*tbl_F[[#This Row],[BB_Stdev]]))</f>
        <v>7.4038289866337914</v>
      </c>
      <c r="M64" s="46">
        <f>IF(ROW(tbl_F[[#This Row],[Adj Close]])=5, 0, $F64-$F63)</f>
        <v>-2.0000000000000462E-2</v>
      </c>
      <c r="N64" s="46">
        <f>MAX(tbl_F[[#This Row],[Move]],0)</f>
        <v>0</v>
      </c>
      <c r="O64" s="46">
        <f>MAX(-tbl_F[[#This Row],[Move]],0)</f>
        <v>2.0000000000000462E-2</v>
      </c>
      <c r="P64" s="46">
        <f ca="1">IF(ROW($N64)-5&lt;RSI_Periods, "", AVERAGE(INDIRECT(ADDRESS(ROW($N64)-RSI_Periods +1, MATCH("Upmove", Price_Header,0))): INDIRECT(ADDRESS(ROW($N64),MATCH("Upmove", Price_Header,0)))))</f>
        <v>6.5714285714285767E-2</v>
      </c>
      <c r="Q64" s="46">
        <f ca="1">IF(ROW($O64)-5&lt;RSI_Periods, "", AVERAGE(INDIRECT(ADDRESS(ROW($O64)-RSI_Periods +1, MATCH("Downmove", Price_Header,0))): INDIRECT(ADDRESS(ROW($O64),MATCH("Downmove", Price_Header,0)))))</f>
        <v>6.9285714285714325E-2</v>
      </c>
      <c r="R64" s="46">
        <f ca="1">IF(tbl_F[[#This Row],[Avg_Upmove]]="", "", tbl_F[[#This Row],[Avg_Upmove]]/tbl_F[[#This Row],[Avg_Downmove]])</f>
        <v>0.94845360824742286</v>
      </c>
      <c r="S64" s="10">
        <f ca="1">IF(ROW($N64)-4&lt;BB_Periods, "", _xlfn.STDEV.S(INDIRECT(ADDRESS(ROW($F64)-RSI_Periods +1, MATCH("Adj Close", Price_Header,0))): INDIRECT(ADDRESS(ROW($F64),MATCH("Adj Close", Price_Header,0)))))</f>
        <v>0.20522836382596182</v>
      </c>
    </row>
    <row r="65" spans="1:19" x14ac:dyDescent="0.35">
      <c r="A65" s="8">
        <v>44138</v>
      </c>
      <c r="B65" s="10">
        <v>7.76</v>
      </c>
      <c r="C65" s="10">
        <v>7.93</v>
      </c>
      <c r="D65" s="10">
        <v>7.73</v>
      </c>
      <c r="E65" s="10">
        <v>7.88</v>
      </c>
      <c r="F65" s="10">
        <v>7.88</v>
      </c>
      <c r="G65">
        <v>65108800</v>
      </c>
      <c r="H65" s="10">
        <f>IF(tbl_F[[#This Row],[Date]]=$A$5, $F65, EMA_Beta*$H64 + (1-EMA_Beta)*$F65)</f>
        <v>7.6869504913471989</v>
      </c>
      <c r="I65" s="46">
        <f ca="1">IF(tbl_F[[#This Row],[RS]]= "", "", 100-(100/(1+tbl_F[[#This Row],[RS]])))</f>
        <v>58.288770053475922</v>
      </c>
      <c r="J65" s="10">
        <f ca="1">IF(ROW($N65)-4&lt;BB_Periods, "", AVERAGE(INDIRECT(ADDRESS(ROW($F65)-RSI_Periods +1, MATCH("Adj Close", Price_Header,0))): INDIRECT(ADDRESS(ROW($F65),MATCH("Adj Close", Price_Header,0)))))</f>
        <v>7.8364285714285717</v>
      </c>
      <c r="K65" s="10">
        <f ca="1">IF(tbl_F[[#This Row],[BB_Mean]]="", "", tbl_F[[#This Row],[BB_Mean]]+(BB_Width*tbl_F[[#This Row],[BB_Stdev]]))</f>
        <v>8.2228605451699668</v>
      </c>
      <c r="L65" s="10">
        <f ca="1">IF(tbl_F[[#This Row],[BB_Mean]]="", "", tbl_F[[#This Row],[BB_Mean]]-(BB_Width*tbl_F[[#This Row],[BB_Stdev]]))</f>
        <v>7.4499965976871767</v>
      </c>
      <c r="M65" s="46">
        <f>IF(ROW(tbl_F[[#This Row],[Adj Close]])=5, 0, $F65-$F64)</f>
        <v>0.16999999999999993</v>
      </c>
      <c r="N65" s="46">
        <f>MAX(tbl_F[[#This Row],[Move]],0)</f>
        <v>0.16999999999999993</v>
      </c>
      <c r="O65" s="46">
        <f>MAX(-tbl_F[[#This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7.7857142857142916E-2</v>
      </c>
      <c r="Q65" s="46">
        <f ca="1">IF(ROW($O65)-5&lt;RSI_Periods, "", AVERAGE(INDIRECT(ADDRESS(ROW($O65)-RSI_Periods +1, MATCH("Downmove", Price_Header,0))): INDIRECT(ADDRESS(ROW($O65),MATCH("Downmove", Price_Header,0)))))</f>
        <v>5.5714285714285793E-2</v>
      </c>
      <c r="R65" s="46">
        <f ca="1">IF(tbl_F[[#This Row],[Avg_Upmove]]="", "", tbl_F[[#This Row],[Avg_Upmove]]/tbl_F[[#This Row],[Avg_Downmove]])</f>
        <v>1.3974358974358965</v>
      </c>
      <c r="S65" s="10">
        <f ca="1">IF(ROW($N65)-4&lt;BB_Periods, "", _xlfn.STDEV.S(INDIRECT(ADDRESS(ROW($F65)-RSI_Periods +1, MATCH("Adj Close", Price_Header,0))): INDIRECT(ADDRESS(ROW($F65),MATCH("Adj Close", Price_Header,0)))))</f>
        <v>0.19321598687069766</v>
      </c>
    </row>
    <row r="66" spans="1:19" x14ac:dyDescent="0.35">
      <c r="A66" s="8">
        <v>44139</v>
      </c>
      <c r="B66" s="10">
        <v>7.86</v>
      </c>
      <c r="C66" s="10">
        <v>7.87</v>
      </c>
      <c r="D66" s="10">
        <v>7.63</v>
      </c>
      <c r="E66" s="10">
        <v>7.64</v>
      </c>
      <c r="F66" s="10">
        <v>7.64</v>
      </c>
      <c r="G66">
        <v>67326800</v>
      </c>
      <c r="H66" s="10">
        <f>IF(tbl_F[[#This Row],[Date]]=$A$5, $F66, EMA_Beta*$H65 + (1-EMA_Beta)*$F66)</f>
        <v>7.6822554422124796</v>
      </c>
      <c r="I66" s="46">
        <f ca="1">IF(tbl_F[[#This Row],[RS]]= "", "", 100-(100/(1+tbl_F[[#This Row],[RS]])))</f>
        <v>50.485436893203882</v>
      </c>
      <c r="J66" s="10">
        <f ca="1">IF(ROW($N66)-4&lt;BB_Periods, "", AVERAGE(INDIRECT(ADDRESS(ROW($F66)-RSI_Periods +1, MATCH("Adj Close", Price_Header,0))): INDIRECT(ADDRESS(ROW($F66),MATCH("Adj Close", Price_Header,0)))))</f>
        <v>7.8378571428571435</v>
      </c>
      <c r="K66" s="10">
        <f ca="1">IF(tbl_F[[#This Row],[BB_Mean]]="", "", tbl_F[[#This Row],[BB_Mean]]+(BB_Width*tbl_F[[#This Row],[BB_Stdev]]))</f>
        <v>8.2209762102242223</v>
      </c>
      <c r="L66" s="10">
        <f ca="1">IF(tbl_F[[#This Row],[BB_Mean]]="", "", tbl_F[[#This Row],[BB_Mean]]-(BB_Width*tbl_F[[#This Row],[BB_Stdev]]))</f>
        <v>7.4547380754900647</v>
      </c>
      <c r="M66" s="46">
        <f>IF(ROW(tbl_F[[#This Row],[Adj Close]])=5, 0, $F66-$F65)</f>
        <v>-0.24000000000000021</v>
      </c>
      <c r="N66" s="46">
        <f>MAX(tbl_F[[#This Row],[Move]],0)</f>
        <v>0</v>
      </c>
      <c r="O66" s="46">
        <f>MAX(-tbl_F[[#This Row],[Move]],0)</f>
        <v>0.24000000000000021</v>
      </c>
      <c r="P66" s="46">
        <f ca="1">IF(ROW($N66)-5&lt;RSI_Periods, "", AVERAGE(INDIRECT(ADDRESS(ROW($N66)-RSI_Periods +1, MATCH("Upmove", Price_Header,0))): INDIRECT(ADDRESS(ROW($N66),MATCH("Upmove", Price_Header,0)))))</f>
        <v>7.4285714285714358E-2</v>
      </c>
      <c r="Q66" s="46">
        <f ca="1">IF(ROW($O66)-5&lt;RSI_Periods, "", AVERAGE(INDIRECT(ADDRESS(ROW($O66)-RSI_Periods +1, MATCH("Downmove", Price_Header,0))): INDIRECT(ADDRESS(ROW($O66),MATCH("Downmove", Price_Header,0)))))</f>
        <v>7.2857142857142954E-2</v>
      </c>
      <c r="R66" s="46">
        <f ca="1">IF(tbl_F[[#This Row],[Avg_Upmove]]="", "", tbl_F[[#This Row],[Avg_Upmove]]/tbl_F[[#This Row],[Avg_Downmove]])</f>
        <v>1.0196078431372546</v>
      </c>
      <c r="S66" s="10">
        <f ca="1">IF(ROW($N66)-4&lt;BB_Periods, "", _xlfn.STDEV.S(INDIRECT(ADDRESS(ROW($F66)-RSI_Periods +1, MATCH("Adj Close", Price_Header,0))): INDIRECT(ADDRESS(ROW($F66),MATCH("Adj Close", Price_Header,0)))))</f>
        <v>0.1915595336835392</v>
      </c>
    </row>
    <row r="67" spans="1:19" x14ac:dyDescent="0.35">
      <c r="A67" s="8">
        <v>44140</v>
      </c>
      <c r="B67" s="10">
        <v>7.76</v>
      </c>
      <c r="C67" s="10">
        <v>7.99</v>
      </c>
      <c r="D67" s="10">
        <v>7.71</v>
      </c>
      <c r="E67" s="10">
        <v>7.99</v>
      </c>
      <c r="F67" s="10">
        <v>7.99</v>
      </c>
      <c r="G67">
        <v>61442600</v>
      </c>
      <c r="H67" s="10">
        <f>IF(tbl_F[[#This Row],[Date]]=$A$5, $F67, EMA_Beta*$H66 + (1-EMA_Beta)*$F67)</f>
        <v>7.7130298979912313</v>
      </c>
      <c r="I67" s="46">
        <f ca="1">IF(tbl_F[[#This Row],[RS]]= "", "", 100-(100/(1+tbl_F[[#This Row],[RS]])))</f>
        <v>56.779661016949149</v>
      </c>
      <c r="J67" s="10">
        <f ca="1">IF(ROW($N67)-4&lt;BB_Periods, "", AVERAGE(INDIRECT(ADDRESS(ROW($F67)-RSI_Periods +1, MATCH("Adj Close", Price_Header,0))): INDIRECT(ADDRESS(ROW($F67),MATCH("Adj Close", Price_Header,0)))))</f>
        <v>7.8607142857142858</v>
      </c>
      <c r="K67" s="10">
        <f ca="1">IF(tbl_F[[#This Row],[BB_Mean]]="", "", tbl_F[[#This Row],[BB_Mean]]+(BB_Width*tbl_F[[#This Row],[BB_Stdev]]))</f>
        <v>8.2388444452921981</v>
      </c>
      <c r="L67" s="10">
        <f ca="1">IF(tbl_F[[#This Row],[BB_Mean]]="", "", tbl_F[[#This Row],[BB_Mean]]-(BB_Width*tbl_F[[#This Row],[BB_Stdev]]))</f>
        <v>7.4825841261363735</v>
      </c>
      <c r="M67" s="46">
        <f>IF(ROW(tbl_F[[#This Row],[Adj Close]])=5, 0, $F67-$F66)</f>
        <v>0.35000000000000053</v>
      </c>
      <c r="N67" s="46">
        <f>MAX(tbl_F[[#This Row],[Move]],0)</f>
        <v>0.35000000000000053</v>
      </c>
      <c r="O67" s="46">
        <f>MAX(-tbl_F[[#This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9.5714285714285835E-2</v>
      </c>
      <c r="Q67" s="46">
        <f ca="1">IF(ROW($O67)-5&lt;RSI_Periods, "", AVERAGE(INDIRECT(ADDRESS(ROW($O67)-RSI_Periods +1, MATCH("Downmove", Price_Header,0))): INDIRECT(ADDRESS(ROW($O67),MATCH("Downmove", Price_Header,0)))))</f>
        <v>7.2857142857142954E-2</v>
      </c>
      <c r="R67" s="46">
        <f ca="1">IF(tbl_F[[#This Row],[Avg_Upmove]]="", "", tbl_F[[#This Row],[Avg_Upmove]]/tbl_F[[#This Row],[Avg_Downmove]])</f>
        <v>1.3137254901960784</v>
      </c>
      <c r="S67" s="10">
        <f ca="1">IF(ROW($N67)-4&lt;BB_Periods, "", _xlfn.STDEV.S(INDIRECT(ADDRESS(ROW($F67)-RSI_Periods +1, MATCH("Adj Close", Price_Header,0))): INDIRECT(ADDRESS(ROW($F67),MATCH("Adj Close", Price_Header,0)))))</f>
        <v>0.18906507978895637</v>
      </c>
    </row>
    <row r="68" spans="1:19" x14ac:dyDescent="0.35">
      <c r="A68" s="8">
        <v>44141</v>
      </c>
      <c r="B68" s="10">
        <v>8.01</v>
      </c>
      <c r="C68" s="10">
        <v>8.02</v>
      </c>
      <c r="D68" s="10">
        <v>7.75</v>
      </c>
      <c r="E68" s="10">
        <v>7.79</v>
      </c>
      <c r="F68" s="10">
        <v>7.79</v>
      </c>
      <c r="G68">
        <v>50912100</v>
      </c>
      <c r="H68" s="10">
        <f>IF(tbl_F[[#This Row],[Date]]=$A$5, $F68, EMA_Beta*$H67 + (1-EMA_Beta)*$F68)</f>
        <v>7.7207269081921082</v>
      </c>
      <c r="I68" s="46">
        <f ca="1">IF(tbl_F[[#This Row],[RS]]= "", "", 100-(100/(1+tbl_F[[#This Row],[RS]])))</f>
        <v>54.032258064516128</v>
      </c>
      <c r="J68" s="10">
        <f ca="1">IF(ROW($N68)-4&lt;BB_Periods, "", AVERAGE(INDIRECT(ADDRESS(ROW($F68)-RSI_Periods +1, MATCH("Adj Close", Price_Header,0))): INDIRECT(ADDRESS(ROW($F68),MATCH("Adj Close", Price_Header,0)))))</f>
        <v>7.875</v>
      </c>
      <c r="K68" s="10">
        <f ca="1">IF(tbl_F[[#This Row],[BB_Mean]]="", "", tbl_F[[#This Row],[BB_Mean]]+(BB_Width*tbl_F[[#This Row],[BB_Stdev]]))</f>
        <v>8.2229832003018366</v>
      </c>
      <c r="L68" s="10">
        <f ca="1">IF(tbl_F[[#This Row],[BB_Mean]]="", "", tbl_F[[#This Row],[BB_Mean]]-(BB_Width*tbl_F[[#This Row],[BB_Stdev]]))</f>
        <v>7.5270167996981634</v>
      </c>
      <c r="M68" s="46">
        <f>IF(ROW(tbl_F[[#This Row],[Adj Close]])=5, 0, $F68-$F67)</f>
        <v>-0.20000000000000018</v>
      </c>
      <c r="N68" s="46">
        <f>MAX(tbl_F[[#This Row],[Move]],0)</f>
        <v>0</v>
      </c>
      <c r="O68" s="46">
        <f>MAX(-tbl_F[[#This Row],[Move]],0)</f>
        <v>0.20000000000000018</v>
      </c>
      <c r="P68" s="46">
        <f ca="1">IF(ROW($N68)-5&lt;RSI_Periods, "", AVERAGE(INDIRECT(ADDRESS(ROW($N68)-RSI_Periods +1, MATCH("Upmove", Price_Header,0))): INDIRECT(ADDRESS(ROW($N68),MATCH("Upmove", Price_Header,0)))))</f>
        <v>9.5714285714285835E-2</v>
      </c>
      <c r="Q68" s="46">
        <f ca="1">IF(ROW($O68)-5&lt;RSI_Periods, "", AVERAGE(INDIRECT(ADDRESS(ROW($O68)-RSI_Periods +1, MATCH("Downmove", Price_Header,0))): INDIRECT(ADDRESS(ROW($O68),MATCH("Downmove", Price_Header,0)))))</f>
        <v>8.1428571428571531E-2</v>
      </c>
      <c r="R68" s="46">
        <f ca="1">IF(tbl_F[[#This Row],[Avg_Upmove]]="", "", tbl_F[[#This Row],[Avg_Upmove]]/tbl_F[[#This Row],[Avg_Downmove]])</f>
        <v>1.1754385964912282</v>
      </c>
      <c r="S68" s="10">
        <f ca="1">IF(ROW($N68)-4&lt;BB_Periods, "", _xlfn.STDEV.S(INDIRECT(ADDRESS(ROW($F68)-RSI_Periods +1, MATCH("Adj Close", Price_Header,0))): INDIRECT(ADDRESS(ROW($F68),MATCH("Adj Close", Price_Header,0)))))</f>
        <v>0.17399160015091808</v>
      </c>
    </row>
    <row r="69" spans="1:19" x14ac:dyDescent="0.35">
      <c r="A69" s="8">
        <v>44144</v>
      </c>
      <c r="B69" s="10">
        <v>8.11</v>
      </c>
      <c r="C69" s="10">
        <v>8.3800000000000008</v>
      </c>
      <c r="D69" s="10">
        <v>8.08</v>
      </c>
      <c r="E69" s="10">
        <v>8.1999999999999993</v>
      </c>
      <c r="F69" s="10">
        <v>8.1999999999999993</v>
      </c>
      <c r="G69">
        <v>110511300</v>
      </c>
      <c r="H69" s="10">
        <f>IF(tbl_F[[#This Row],[Date]]=$A$5, $F69, EMA_Beta*$H68 + (1-EMA_Beta)*$F69)</f>
        <v>7.7686542173728972</v>
      </c>
      <c r="I69" s="46">
        <f ca="1">IF(tbl_F[[#This Row],[RS]]= "", "", 100-(100/(1+tbl_F[[#This Row],[RS]])))</f>
        <v>58.394160583941591</v>
      </c>
      <c r="J69" s="10">
        <f ca="1">IF(ROW($N69)-4&lt;BB_Periods, "", AVERAGE(INDIRECT(ADDRESS(ROW($F69)-RSI_Periods +1, MATCH("Adj Close", Price_Header,0))): INDIRECT(ADDRESS(ROW($F69),MATCH("Adj Close", Price_Header,0)))))</f>
        <v>7.907857142857142</v>
      </c>
      <c r="K69" s="10">
        <f ca="1">IF(tbl_F[[#This Row],[BB_Mean]]="", "", tbl_F[[#This Row],[BB_Mean]]+(BB_Width*tbl_F[[#This Row],[BB_Stdev]]))</f>
        <v>8.2864520001043918</v>
      </c>
      <c r="L69" s="10">
        <f ca="1">IF(tbl_F[[#This Row],[BB_Mean]]="", "", tbl_F[[#This Row],[BB_Mean]]-(BB_Width*tbl_F[[#This Row],[BB_Stdev]]))</f>
        <v>7.5292622856098914</v>
      </c>
      <c r="M69" s="46">
        <f>IF(ROW(tbl_F[[#This Row],[Adj Close]])=5, 0, $F69-$F68)</f>
        <v>0.40999999999999925</v>
      </c>
      <c r="N69" s="46">
        <f>MAX(tbl_F[[#This Row],[Move]],0)</f>
        <v>0.40999999999999925</v>
      </c>
      <c r="O69" s="46">
        <f>MAX(-tbl_F[[#This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0.11428571428571432</v>
      </c>
      <c r="Q69" s="46">
        <f ca="1">IF(ROW($O69)-5&lt;RSI_Periods, "", AVERAGE(INDIRECT(ADDRESS(ROW($O69)-RSI_Periods +1, MATCH("Downmove", Price_Header,0))): INDIRECT(ADDRESS(ROW($O69),MATCH("Downmove", Price_Header,0)))))</f>
        <v>8.1428571428571531E-2</v>
      </c>
      <c r="R69" s="46">
        <f ca="1">IF(tbl_F[[#This Row],[Avg_Upmove]]="", "", tbl_F[[#This Row],[Avg_Upmove]]/tbl_F[[#This Row],[Avg_Downmove]])</f>
        <v>1.4035087719298234</v>
      </c>
      <c r="S69" s="10">
        <f ca="1">IF(ROW($N69)-4&lt;BB_Periods, "", _xlfn.STDEV.S(INDIRECT(ADDRESS(ROW($F69)-RSI_Periods +1, MATCH("Adj Close", Price_Header,0))): INDIRECT(ADDRESS(ROW($F69),MATCH("Adj Close", Price_Header,0)))))</f>
        <v>0.18929742862362522</v>
      </c>
    </row>
    <row r="70" spans="1:19" x14ac:dyDescent="0.35">
      <c r="A70" s="8">
        <v>44145</v>
      </c>
      <c r="B70" s="10">
        <v>8.23</v>
      </c>
      <c r="C70" s="10">
        <v>8.59</v>
      </c>
      <c r="D70" s="10">
        <v>8.18</v>
      </c>
      <c r="E70" s="10">
        <v>8.3800000000000008</v>
      </c>
      <c r="F70" s="10">
        <v>8.3800000000000008</v>
      </c>
      <c r="G70">
        <v>87468400</v>
      </c>
      <c r="H70" s="10">
        <f>IF(tbl_F[[#This Row],[Date]]=$A$5, $F70, EMA_Beta*$H69 + (1-EMA_Beta)*$F70)</f>
        <v>7.8297887956356078</v>
      </c>
      <c r="I70" s="46">
        <f ca="1">IF(tbl_F[[#This Row],[RS]]= "", "", 100-(100/(1+tbl_F[[#This Row],[RS]])))</f>
        <v>59.430604982206411</v>
      </c>
      <c r="J70" s="10">
        <f ca="1">IF(ROW($N70)-4&lt;BB_Periods, "", AVERAGE(INDIRECT(ADDRESS(ROW($F70)-RSI_Periods +1, MATCH("Adj Close", Price_Header,0))): INDIRECT(ADDRESS(ROW($F70),MATCH("Adj Close", Price_Header,0)))))</f>
        <v>7.9457142857142866</v>
      </c>
      <c r="K70" s="10">
        <f ca="1">IF(tbl_F[[#This Row],[BB_Mean]]="", "", tbl_F[[#This Row],[BB_Mean]]+(BB_Width*tbl_F[[#This Row],[BB_Stdev]]))</f>
        <v>8.3981752001819121</v>
      </c>
      <c r="L70" s="10">
        <f ca="1">IF(tbl_F[[#This Row],[BB_Mean]]="", "", tbl_F[[#This Row],[BB_Mean]]-(BB_Width*tbl_F[[#This Row],[BB_Stdev]]))</f>
        <v>7.493253371246662</v>
      </c>
      <c r="M70" s="46">
        <f>IF(ROW(tbl_F[[#This Row],[Adj Close]])=5, 0, $F70-$F69)</f>
        <v>0.18000000000000149</v>
      </c>
      <c r="N70" s="46">
        <f>MAX(tbl_F[[#This Row],[Move]],0)</f>
        <v>0.18000000000000149</v>
      </c>
      <c r="O70" s="46">
        <f>MAX(-tbl_F[[#This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0.11928571428571447</v>
      </c>
      <c r="Q70" s="46">
        <f ca="1">IF(ROW($O70)-5&lt;RSI_Periods, "", AVERAGE(INDIRECT(ADDRESS(ROW($O70)-RSI_Periods +1, MATCH("Downmove", Price_Header,0))): INDIRECT(ADDRESS(ROW($O70),MATCH("Downmove", Price_Header,0)))))</f>
        <v>8.1428571428571531E-2</v>
      </c>
      <c r="R70" s="46">
        <f ca="1">IF(tbl_F[[#This Row],[Avg_Upmove]]="", "", tbl_F[[#This Row],[Avg_Upmove]]/tbl_F[[#This Row],[Avg_Downmove]])</f>
        <v>1.4649122807017547</v>
      </c>
      <c r="S70" s="10">
        <f ca="1">IF(ROW($N70)-4&lt;BB_Periods, "", _xlfn.STDEV.S(INDIRECT(ADDRESS(ROW($F70)-RSI_Periods +1, MATCH("Adj Close", Price_Header,0))): INDIRECT(ADDRESS(ROW($F70),MATCH("Adj Close", Price_Header,0)))))</f>
        <v>0.22623045723381244</v>
      </c>
    </row>
    <row r="71" spans="1:19" x14ac:dyDescent="0.35">
      <c r="A71" s="8">
        <v>44146</v>
      </c>
      <c r="B71" s="10">
        <v>8.6</v>
      </c>
      <c r="C71" s="10">
        <v>8.6</v>
      </c>
      <c r="D71" s="10">
        <v>8.2899999999999991</v>
      </c>
      <c r="E71" s="10">
        <v>8.33</v>
      </c>
      <c r="F71" s="10">
        <v>8.33</v>
      </c>
      <c r="G71">
        <v>75644400</v>
      </c>
      <c r="H71" s="10">
        <f>IF(tbl_F[[#This Row],[Date]]=$A$5, $F71, EMA_Beta*$H70 + (1-EMA_Beta)*$F71)</f>
        <v>7.8798099160720474</v>
      </c>
      <c r="I71" s="46">
        <f ca="1">IF(tbl_F[[#This Row],[RS]]= "", "", 100-(100/(1+tbl_F[[#This Row],[RS]])))</f>
        <v>52.39999999999997</v>
      </c>
      <c r="J71" s="10">
        <f ca="1">IF(ROW($N71)-4&lt;BB_Periods, "", AVERAGE(INDIRECT(ADDRESS(ROW($F71)-RSI_Periods +1, MATCH("Adj Close", Price_Header,0))): INDIRECT(ADDRESS(ROW($F71),MATCH("Adj Close", Price_Header,0)))))</f>
        <v>7.9542857142857146</v>
      </c>
      <c r="K71" s="10">
        <f ca="1">IF(tbl_F[[#This Row],[BB_Mean]]="", "", tbl_F[[#This Row],[BB_Mean]]+(BB_Width*tbl_F[[#This Row],[BB_Stdev]]))</f>
        <v>8.4321472510844497</v>
      </c>
      <c r="L71" s="10">
        <f ca="1">IF(tbl_F[[#This Row],[BB_Mean]]="", "", tbl_F[[#This Row],[BB_Mean]]-(BB_Width*tbl_F[[#This Row],[BB_Stdev]]))</f>
        <v>7.4764241774869795</v>
      </c>
      <c r="M71" s="46">
        <f>IF(ROW(tbl_F[[#This Row],[Adj Close]])=5, 0, $F71-$F70)</f>
        <v>-5.0000000000000711E-2</v>
      </c>
      <c r="N71" s="46">
        <f>MAX(tbl_F[[#This Row],[Move]],0)</f>
        <v>0</v>
      </c>
      <c r="O71" s="46">
        <f>MAX(-tbl_F[[#This Row],[Move]],0)</f>
        <v>5.0000000000000711E-2</v>
      </c>
      <c r="P71" s="46">
        <f ca="1">IF(ROW($N71)-5&lt;RSI_Periods, "", AVERAGE(INDIRECT(ADDRESS(ROW($N71)-RSI_Periods +1, MATCH("Upmove", Price_Header,0))): INDIRECT(ADDRESS(ROW($N71),MATCH("Upmove", Price_Header,0)))))</f>
        <v>9.3571428571428666E-2</v>
      </c>
      <c r="Q71" s="46">
        <f ca="1">IF(ROW($O71)-5&lt;RSI_Periods, "", AVERAGE(INDIRECT(ADDRESS(ROW($O71)-RSI_Periods +1, MATCH("Downmove", Price_Header,0))): INDIRECT(ADDRESS(ROW($O71),MATCH("Downmove", Price_Header,0)))))</f>
        <v>8.5000000000000159E-2</v>
      </c>
      <c r="R71" s="46">
        <f ca="1">IF(tbl_F[[#This Row],[Avg_Upmove]]="", "", tbl_F[[#This Row],[Avg_Upmove]]/tbl_F[[#This Row],[Avg_Downmove]])</f>
        <v>1.1008403361344528</v>
      </c>
      <c r="S71" s="10">
        <f ca="1">IF(ROW($N71)-4&lt;BB_Periods, "", _xlfn.STDEV.S(INDIRECT(ADDRESS(ROW($F71)-RSI_Periods +1, MATCH("Adj Close", Price_Header,0))): INDIRECT(ADDRESS(ROW($F71),MATCH("Adj Close", Price_Header,0)))))</f>
        <v>0.23893076839936733</v>
      </c>
    </row>
    <row r="72" spans="1:19" x14ac:dyDescent="0.35">
      <c r="A72" s="8">
        <v>44147</v>
      </c>
      <c r="B72" s="10">
        <v>8.26</v>
      </c>
      <c r="C72" s="10">
        <v>8.2899999999999991</v>
      </c>
      <c r="D72" s="10">
        <v>8.1</v>
      </c>
      <c r="E72" s="10">
        <v>8.2100000000000009</v>
      </c>
      <c r="F72" s="10">
        <v>8.2100000000000009</v>
      </c>
      <c r="G72">
        <v>81064900</v>
      </c>
      <c r="H72" s="10">
        <f>IF(tbl_F[[#This Row],[Date]]=$A$5, $F72, EMA_Beta*$H71 + (1-EMA_Beta)*$F72)</f>
        <v>7.9128289244648427</v>
      </c>
      <c r="I72" s="46">
        <f ca="1">IF(tbl_F[[#This Row],[RS]]= "", "", 100-(100/(1+tbl_F[[#This Row],[RS]])))</f>
        <v>50.972762645914415</v>
      </c>
      <c r="J72" s="10">
        <f ca="1">IF(ROW($N72)-4&lt;BB_Periods, "", AVERAGE(INDIRECT(ADDRESS(ROW($F72)-RSI_Periods +1, MATCH("Adj Close", Price_Header,0))): INDIRECT(ADDRESS(ROW($F72),MATCH("Adj Close", Price_Header,0)))))</f>
        <v>7.9578571428571427</v>
      </c>
      <c r="K72" s="10">
        <f ca="1">IF(tbl_F[[#This Row],[BB_Mean]]="", "", tbl_F[[#This Row],[BB_Mean]]+(BB_Width*tbl_F[[#This Row],[BB_Stdev]]))</f>
        <v>8.4430329917981268</v>
      </c>
      <c r="L72" s="10">
        <f ca="1">IF(tbl_F[[#This Row],[BB_Mean]]="", "", tbl_F[[#This Row],[BB_Mean]]-(BB_Width*tbl_F[[#This Row],[BB_Stdev]]))</f>
        <v>7.4726812939161587</v>
      </c>
      <c r="M72" s="46">
        <f>IF(ROW(tbl_F[[#This Row],[Adj Close]])=5, 0, $F72-$F71)</f>
        <v>-0.11999999999999922</v>
      </c>
      <c r="N72" s="46">
        <f>MAX(tbl_F[[#This Row],[Move]],0)</f>
        <v>0</v>
      </c>
      <c r="O72" s="46">
        <f>MAX(-tbl_F[[#This Row],[Move]],0)</f>
        <v>0.11999999999999922</v>
      </c>
      <c r="P72" s="46">
        <f ca="1">IF(ROW($N72)-5&lt;RSI_Periods, "", AVERAGE(INDIRECT(ADDRESS(ROW($N72)-RSI_Periods +1, MATCH("Upmove", Price_Header,0))): INDIRECT(ADDRESS(ROW($N72),MATCH("Upmove", Price_Header,0)))))</f>
        <v>9.3571428571428666E-2</v>
      </c>
      <c r="Q72" s="46">
        <f ca="1">IF(ROW($O72)-5&lt;RSI_Periods, "", AVERAGE(INDIRECT(ADDRESS(ROW($O72)-RSI_Periods +1, MATCH("Downmove", Price_Header,0))): INDIRECT(ADDRESS(ROW($O72),MATCH("Downmove", Price_Header,0)))))</f>
        <v>9.0000000000000052E-2</v>
      </c>
      <c r="R72" s="46">
        <f ca="1">IF(tbl_F[[#This Row],[Avg_Upmove]]="", "", tbl_F[[#This Row],[Avg_Upmove]]/tbl_F[[#This Row],[Avg_Downmove]])</f>
        <v>1.0396825396825402</v>
      </c>
      <c r="S72" s="10">
        <f ca="1">IF(ROW($N72)-4&lt;BB_Periods, "", _xlfn.STDEV.S(INDIRECT(ADDRESS(ROW($F72)-RSI_Periods +1, MATCH("Adj Close", Price_Header,0))): INDIRECT(ADDRESS(ROW($F72),MATCH("Adj Close", Price_Header,0)))))</f>
        <v>0.24258792447049207</v>
      </c>
    </row>
    <row r="73" spans="1:19" x14ac:dyDescent="0.35">
      <c r="A73" s="8">
        <v>44148</v>
      </c>
      <c r="B73" s="10">
        <v>8.23</v>
      </c>
      <c r="C73" s="10">
        <v>8.41</v>
      </c>
      <c r="D73" s="10">
        <v>8.23</v>
      </c>
      <c r="E73" s="10">
        <v>8.3800000000000008</v>
      </c>
      <c r="F73" s="10">
        <v>8.3800000000000008</v>
      </c>
      <c r="G73">
        <v>19807988</v>
      </c>
      <c r="H73" s="10">
        <f>IF(tbl_F[[#This Row],[Date]]=$A$5, $F73, EMA_Beta*$H72 + (1-EMA_Beta)*$F73)</f>
        <v>7.9595460320183582</v>
      </c>
      <c r="I73" s="46">
        <f ca="1">IF(tbl_F[[#This Row],[RS]]= "", "", 100-(100/(1+tbl_F[[#This Row],[RS]])))</f>
        <v>56.704980842911901</v>
      </c>
      <c r="J73" s="10">
        <f ca="1">IF(ROW($N73)-4&lt;BB_Periods, "", AVERAGE(INDIRECT(ADDRESS(ROW($F73)-RSI_Periods +1, MATCH("Adj Close", Price_Header,0))): INDIRECT(ADDRESS(ROW($F73),MATCH("Adj Close", Price_Header,0)))))</f>
        <v>7.9828571428571422</v>
      </c>
      <c r="K73" s="10">
        <f ca="1">IF(tbl_F[[#This Row],[BB_Mean]]="", "", tbl_F[[#This Row],[BB_Mean]]+(BB_Width*tbl_F[[#This Row],[BB_Stdev]]))</f>
        <v>8.5175851727322058</v>
      </c>
      <c r="L73" s="10">
        <f ca="1">IF(tbl_F[[#This Row],[BB_Mean]]="", "", tbl_F[[#This Row],[BB_Mean]]-(BB_Width*tbl_F[[#This Row],[BB_Stdev]]))</f>
        <v>7.4481291129820795</v>
      </c>
      <c r="M73" s="46">
        <f>IF(ROW(tbl_F[[#This Row],[Adj Close]])=5, 0, $F73-$F72)</f>
        <v>0.16999999999999993</v>
      </c>
      <c r="N73" s="46">
        <f>MAX(tbl_F[[#This Row],[Move]],0)</f>
        <v>0.16999999999999993</v>
      </c>
      <c r="O73" s="46">
        <f>MAX(-tbl_F[[#This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0.1057142857142858</v>
      </c>
      <c r="Q73" s="46">
        <f ca="1">IF(ROW($O73)-5&lt;RSI_Periods, "", AVERAGE(INDIRECT(ADDRESS(ROW($O73)-RSI_Periods +1, MATCH("Downmove", Price_Header,0))): INDIRECT(ADDRESS(ROW($O73),MATCH("Downmove", Price_Header,0)))))</f>
        <v>8.0714285714285711E-2</v>
      </c>
      <c r="R73" s="46">
        <f ca="1">IF(tbl_F[[#This Row],[Avg_Upmove]]="", "", tbl_F[[#This Row],[Avg_Upmove]]/tbl_F[[#This Row],[Avg_Downmove]])</f>
        <v>1.3097345132743374</v>
      </c>
      <c r="S73" s="10">
        <f ca="1">IF(ROW($N73)-4&lt;BB_Periods, "", _xlfn.STDEV.S(INDIRECT(ADDRESS(ROW($F73)-RSI_Periods +1, MATCH("Adj Close", Price_Header,0))): INDIRECT(ADDRESS(ROW($F73),MATCH("Adj Close", Price_Header,0)))))</f>
        <v>0.26736401493753154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SUBTOTAL(103,tbl_F[BB_Stdev])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CC"/>
  </sheetPr>
  <dimension ref="A2:J43"/>
  <sheetViews>
    <sheetView topLeftCell="A31" workbookViewId="0">
      <selection activeCell="W45" sqref="W45"/>
    </sheetView>
  </sheetViews>
  <sheetFormatPr defaultRowHeight="14.5" x14ac:dyDescent="0.35"/>
  <sheetData>
    <row r="2" spans="1:10" ht="21" x14ac:dyDescent="0.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t="s">
        <v>257</v>
      </c>
    </row>
    <row r="4" spans="1:10" x14ac:dyDescent="0.35">
      <c r="A4" t="s">
        <v>258</v>
      </c>
    </row>
    <row r="6" spans="1:10" ht="15.5" x14ac:dyDescent="0.35">
      <c r="A6" s="7" t="s">
        <v>259</v>
      </c>
    </row>
    <row r="7" spans="1:10" x14ac:dyDescent="0.35">
      <c r="A7" t="s">
        <v>260</v>
      </c>
    </row>
    <row r="9" spans="1:10" x14ac:dyDescent="0.35">
      <c r="A9" s="66" t="s">
        <v>261</v>
      </c>
    </row>
    <row r="10" spans="1:10" x14ac:dyDescent="0.35">
      <c r="A10" t="s">
        <v>262</v>
      </c>
    </row>
    <row r="11" spans="1:10" x14ac:dyDescent="0.35">
      <c r="B11" t="s">
        <v>263</v>
      </c>
    </row>
    <row r="12" spans="1:10" x14ac:dyDescent="0.35">
      <c r="A12" t="s">
        <v>264</v>
      </c>
    </row>
    <row r="13" spans="1:10" x14ac:dyDescent="0.35">
      <c r="B13" t="s">
        <v>267</v>
      </c>
    </row>
    <row r="14" spans="1:10" x14ac:dyDescent="0.35">
      <c r="A14" t="s">
        <v>265</v>
      </c>
    </row>
    <row r="15" spans="1:10" x14ac:dyDescent="0.35">
      <c r="B15" t="s">
        <v>266</v>
      </c>
    </row>
    <row r="17" spans="1:2" ht="15.5" x14ac:dyDescent="0.35">
      <c r="A17" s="7" t="s">
        <v>268</v>
      </c>
    </row>
    <row r="18" spans="1:2" x14ac:dyDescent="0.35">
      <c r="A18" t="s">
        <v>284</v>
      </c>
    </row>
    <row r="20" spans="1:2" x14ac:dyDescent="0.35">
      <c r="A20" s="66" t="s">
        <v>261</v>
      </c>
    </row>
    <row r="21" spans="1:2" x14ac:dyDescent="0.35">
      <c r="A21" t="s">
        <v>269</v>
      </c>
    </row>
    <row r="22" spans="1:2" x14ac:dyDescent="0.35">
      <c r="B22" t="s">
        <v>270</v>
      </c>
    </row>
    <row r="23" spans="1:2" x14ac:dyDescent="0.35">
      <c r="A23" t="s">
        <v>272</v>
      </c>
    </row>
    <row r="26" spans="1:2" ht="15.5" x14ac:dyDescent="0.35">
      <c r="A26" s="7" t="s">
        <v>271</v>
      </c>
    </row>
    <row r="27" spans="1:2" x14ac:dyDescent="0.35">
      <c r="A27" t="s">
        <v>285</v>
      </c>
    </row>
    <row r="28" spans="1:2" x14ac:dyDescent="0.35">
      <c r="A28" s="66" t="s">
        <v>261</v>
      </c>
    </row>
    <row r="29" spans="1:2" x14ac:dyDescent="0.35">
      <c r="A29" t="s">
        <v>273</v>
      </c>
    </row>
    <row r="30" spans="1:2" x14ac:dyDescent="0.35">
      <c r="A30" t="s">
        <v>274</v>
      </c>
    </row>
    <row r="31" spans="1:2" x14ac:dyDescent="0.35">
      <c r="A31" t="s">
        <v>276</v>
      </c>
    </row>
    <row r="33" spans="1:1" ht="15.5" x14ac:dyDescent="0.35">
      <c r="A33" s="7" t="s">
        <v>277</v>
      </c>
    </row>
    <row r="34" spans="1:1" x14ac:dyDescent="0.35">
      <c r="A34" t="s">
        <v>286</v>
      </c>
    </row>
    <row r="35" spans="1:1" x14ac:dyDescent="0.35">
      <c r="A35" s="66" t="s">
        <v>261</v>
      </c>
    </row>
    <row r="36" spans="1:1" x14ac:dyDescent="0.35">
      <c r="A36" t="s">
        <v>278</v>
      </c>
    </row>
    <row r="37" spans="1:1" x14ac:dyDescent="0.35">
      <c r="A37" t="s">
        <v>279</v>
      </c>
    </row>
    <row r="38" spans="1:1" x14ac:dyDescent="0.35">
      <c r="A38" t="s">
        <v>280</v>
      </c>
    </row>
    <row r="39" spans="1:1" x14ac:dyDescent="0.35">
      <c r="A39" t="s">
        <v>281</v>
      </c>
    </row>
    <row r="40" spans="1:1" x14ac:dyDescent="0.35">
      <c r="A40" t="s">
        <v>282</v>
      </c>
    </row>
    <row r="41" spans="1:1" x14ac:dyDescent="0.35">
      <c r="A41" t="s">
        <v>283</v>
      </c>
    </row>
    <row r="43" spans="1:1" x14ac:dyDescent="0.35">
      <c r="A43" t="s">
        <v>287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BFA-3863-46FB-B985-E8EAE3764F16}">
  <dimension ref="A1:S74"/>
  <sheetViews>
    <sheetView topLeftCell="B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7.1</v>
      </c>
      <c r="C5" s="10">
        <v>7.38</v>
      </c>
      <c r="D5" s="10">
        <v>6.98</v>
      </c>
      <c r="E5" s="10">
        <v>7.33</v>
      </c>
      <c r="F5" s="10">
        <v>7.33</v>
      </c>
      <c r="G5">
        <v>2614500</v>
      </c>
      <c r="H5" s="10">
        <f>IF(tbl_LTHM[[#This Row],[Date]]=$A$5, $F5, EMA_Beta*$H4 + (1-EMA_Beta)*$F5)</f>
        <v>7.33</v>
      </c>
      <c r="I5" s="46" t="str">
        <f ca="1">IF(tbl_LTHM[[#This Row],[RS]]= "", "", 100-(100/(1+tbl_LTHM[[#This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IF(tbl_LTHM[[#This Row],[BB_Mean]]="", "", tbl_LTHM[[#This Row],[BB_Mean]]+(BB_Width*tbl_LTHM[[#This Row],[BB_Stdev]]))</f>
        <v/>
      </c>
      <c r="L5" s="10" t="str">
        <f ca="1">IF(tbl_LTHM[[#This Row],[BB_Mean]]="", "", tbl_LTHM[[#This Row],[BB_Mean]]-(BB_Width*tbl_LTHM[[#This Row],[BB_Stdev]]))</f>
        <v/>
      </c>
      <c r="M5" s="46">
        <f>IF(ROW(tbl_LTHM[[#This Row],[Adj Close]])=5, 0, $F5-$F4)</f>
        <v>0</v>
      </c>
      <c r="N5" s="46">
        <f>MAX(tbl_LTHM[[#This Row],[Move]],0)</f>
        <v>0</v>
      </c>
      <c r="O5" s="46">
        <f>MAX(-tbl_LTHM[[#This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IF(tbl_LTHM[[#This Row],[Avg_Upmove]]="", "", tbl_LTHM[[#This Row],[Avg_Upmove]]/tbl_LTHM[[#This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7.45</v>
      </c>
      <c r="C6" s="10">
        <v>7.92</v>
      </c>
      <c r="D6" s="10">
        <v>7.44</v>
      </c>
      <c r="E6" s="10">
        <v>7.63</v>
      </c>
      <c r="F6" s="10">
        <v>7.63</v>
      </c>
      <c r="G6">
        <v>3068200</v>
      </c>
      <c r="H6" s="10">
        <f>IF(tbl_LTHM[[#This Row],[Date]]=$A$5, $F6, EMA_Beta*$H5 + (1-EMA_Beta)*$F6)</f>
        <v>7.36</v>
      </c>
      <c r="I6" s="46" t="str">
        <f ca="1">IF(tbl_LTHM[[#This Row],[RS]]= "", "", 100-(100/(1+tbl_LTHM[[#This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IF(tbl_LTHM[[#This Row],[BB_Mean]]="", "", tbl_LTHM[[#This Row],[BB_Mean]]+(BB_Width*tbl_LTHM[[#This Row],[BB_Stdev]]))</f>
        <v/>
      </c>
      <c r="L6" s="10" t="str">
        <f ca="1">IF(tbl_LTHM[[#This Row],[BB_Mean]]="", "", tbl_LTHM[[#This Row],[BB_Mean]]-(BB_Width*tbl_LTHM[[#This Row],[BB_Stdev]]))</f>
        <v/>
      </c>
      <c r="M6" s="46">
        <f>IF(ROW(tbl_LTHM[[#This Row],[Adj Close]])=5, 0, $F6-$F5)</f>
        <v>0.29999999999999982</v>
      </c>
      <c r="N6" s="46">
        <f>MAX(tbl_LTHM[[#This Row],[Move]],0)</f>
        <v>0.29999999999999982</v>
      </c>
      <c r="O6" s="46">
        <f>MAX(-tbl_LTHM[[#This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IF(tbl_LTHM[[#This Row],[Avg_Upmove]]="", "", tbl_LTHM[[#This Row],[Avg_Upmove]]/tbl_LTHM[[#This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7.91</v>
      </c>
      <c r="C7" s="10">
        <v>7.92</v>
      </c>
      <c r="D7" s="10">
        <v>7.45</v>
      </c>
      <c r="E7" s="10">
        <v>7.49</v>
      </c>
      <c r="F7" s="10">
        <v>7.49</v>
      </c>
      <c r="G7">
        <v>2069200</v>
      </c>
      <c r="H7" s="10">
        <f>IF(tbl_LTHM[[#This Row],[Date]]=$A$5, $F7, EMA_Beta*$H6 + (1-EMA_Beta)*$F7)</f>
        <v>7.3730000000000002</v>
      </c>
      <c r="I7" s="46" t="str">
        <f ca="1">IF(tbl_LTHM[[#This Row],[RS]]= "", "", 100-(100/(1+tbl_LTHM[[#This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IF(tbl_LTHM[[#This Row],[BB_Mean]]="", "", tbl_LTHM[[#This Row],[BB_Mean]]+(BB_Width*tbl_LTHM[[#This Row],[BB_Stdev]]))</f>
        <v/>
      </c>
      <c r="L7" s="10" t="str">
        <f ca="1">IF(tbl_LTHM[[#This Row],[BB_Mean]]="", "", tbl_LTHM[[#This Row],[BB_Mean]]-(BB_Width*tbl_LTHM[[#This Row],[BB_Stdev]]))</f>
        <v/>
      </c>
      <c r="M7" s="46">
        <f>IF(ROW(tbl_LTHM[[#This Row],[Adj Close]])=5, 0, $F7-$F6)</f>
        <v>-0.13999999999999968</v>
      </c>
      <c r="N7" s="46">
        <f>MAX(tbl_LTHM[[#This Row],[Move]],0)</f>
        <v>0</v>
      </c>
      <c r="O7" s="46">
        <f>MAX(-tbl_LTHM[[#This Row],[Move]],0)</f>
        <v>0.13999999999999968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IF(tbl_LTHM[[#This Row],[Avg_Upmove]]="", "", tbl_LTHM[[#This Row],[Avg_Upmove]]/tbl_LTHM[[#This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7.4</v>
      </c>
      <c r="C8" s="10">
        <v>7.47</v>
      </c>
      <c r="D8" s="10">
        <v>7.26</v>
      </c>
      <c r="E8" s="10">
        <v>7.39</v>
      </c>
      <c r="F8" s="10">
        <v>7.39</v>
      </c>
      <c r="G8">
        <v>1518800</v>
      </c>
      <c r="H8" s="10">
        <f>IF(tbl_LTHM[[#This Row],[Date]]=$A$5, $F8, EMA_Beta*$H7 + (1-EMA_Beta)*$F8)</f>
        <v>7.3746999999999998</v>
      </c>
      <c r="I8" s="46" t="str">
        <f ca="1">IF(tbl_LTHM[[#This Row],[RS]]= "", "", 100-(100/(1+tbl_LTHM[[#This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IF(tbl_LTHM[[#This Row],[BB_Mean]]="", "", tbl_LTHM[[#This Row],[BB_Mean]]+(BB_Width*tbl_LTHM[[#This Row],[BB_Stdev]]))</f>
        <v/>
      </c>
      <c r="L8" s="10" t="str">
        <f ca="1">IF(tbl_LTHM[[#This Row],[BB_Mean]]="", "", tbl_LTHM[[#This Row],[BB_Mean]]-(BB_Width*tbl_LTHM[[#This Row],[BB_Stdev]]))</f>
        <v/>
      </c>
      <c r="M8" s="46">
        <f>IF(ROW(tbl_LTHM[[#This Row],[Adj Close]])=5, 0, $F8-$F7)</f>
        <v>-0.10000000000000053</v>
      </c>
      <c r="N8" s="46">
        <f>MAX(tbl_LTHM[[#This Row],[Move]],0)</f>
        <v>0</v>
      </c>
      <c r="O8" s="46">
        <f>MAX(-tbl_LTHM[[#This Row],[Move]],0)</f>
        <v>0.10000000000000053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IF(tbl_LTHM[[#This Row],[Avg_Upmove]]="", "", tbl_LTHM[[#This Row],[Avg_Upmove]]/tbl_LTHM[[#This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7.35</v>
      </c>
      <c r="C9" s="10">
        <v>7.72</v>
      </c>
      <c r="D9" s="10">
        <v>7.28</v>
      </c>
      <c r="E9" s="10">
        <v>7.64</v>
      </c>
      <c r="F9" s="10">
        <v>7.64</v>
      </c>
      <c r="G9">
        <v>986400</v>
      </c>
      <c r="H9" s="10">
        <f>IF(tbl_LTHM[[#This Row],[Date]]=$A$5, $F9, EMA_Beta*$H8 + (1-EMA_Beta)*$F9)</f>
        <v>7.40123</v>
      </c>
      <c r="I9" s="46" t="str">
        <f ca="1">IF(tbl_LTHM[[#This Row],[RS]]= "", "", 100-(100/(1+tbl_LTHM[[#This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IF(tbl_LTHM[[#This Row],[BB_Mean]]="", "", tbl_LTHM[[#This Row],[BB_Mean]]+(BB_Width*tbl_LTHM[[#This Row],[BB_Stdev]]))</f>
        <v/>
      </c>
      <c r="L9" s="10" t="str">
        <f ca="1">IF(tbl_LTHM[[#This Row],[BB_Mean]]="", "", tbl_LTHM[[#This Row],[BB_Mean]]-(BB_Width*tbl_LTHM[[#This Row],[BB_Stdev]]))</f>
        <v/>
      </c>
      <c r="M9" s="46">
        <f>IF(ROW(tbl_LTHM[[#This Row],[Adj Close]])=5, 0, $F9-$F8)</f>
        <v>0.25</v>
      </c>
      <c r="N9" s="46">
        <f>MAX(tbl_LTHM[[#This Row],[Move]],0)</f>
        <v>0.25</v>
      </c>
      <c r="O9" s="46">
        <f>MAX(-tbl_LTHM[[#This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IF(tbl_LTHM[[#This Row],[Avg_Upmove]]="", "", tbl_LTHM[[#This Row],[Avg_Upmove]]/tbl_LTHM[[#This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7.72</v>
      </c>
      <c r="C10" s="10">
        <v>7.72</v>
      </c>
      <c r="D10" s="10">
        <v>7.5</v>
      </c>
      <c r="E10" s="10">
        <v>7.59</v>
      </c>
      <c r="F10" s="10">
        <v>7.59</v>
      </c>
      <c r="G10">
        <v>980200</v>
      </c>
      <c r="H10" s="10">
        <f>IF(tbl_LTHM[[#This Row],[Date]]=$A$5, $F10, EMA_Beta*$H9 + (1-EMA_Beta)*$F10)</f>
        <v>7.4201069999999998</v>
      </c>
      <c r="I10" s="46" t="str">
        <f ca="1">IF(tbl_LTHM[[#This Row],[RS]]= "", "", 100-(100/(1+tbl_LTHM[[#This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IF(tbl_LTHM[[#This Row],[BB_Mean]]="", "", tbl_LTHM[[#This Row],[BB_Mean]]+(BB_Width*tbl_LTHM[[#This Row],[BB_Stdev]]))</f>
        <v/>
      </c>
      <c r="L10" s="10" t="str">
        <f ca="1">IF(tbl_LTHM[[#This Row],[BB_Mean]]="", "", tbl_LTHM[[#This Row],[BB_Mean]]-(BB_Width*tbl_LTHM[[#This Row],[BB_Stdev]]))</f>
        <v/>
      </c>
      <c r="M10" s="46">
        <f>IF(ROW(tbl_LTHM[[#This Row],[Adj Close]])=5, 0, $F10-$F9)</f>
        <v>-4.9999999999999822E-2</v>
      </c>
      <c r="N10" s="46">
        <f>MAX(tbl_LTHM[[#This Row],[Move]],0)</f>
        <v>0</v>
      </c>
      <c r="O10" s="46">
        <f>MAX(-tbl_LTHM[[#This Row],[Move]],0)</f>
        <v>4.9999999999999822E-2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IF(tbl_LTHM[[#This Row],[Avg_Upmove]]="", "", tbl_LTHM[[#This Row],[Avg_Upmove]]/tbl_LTHM[[#This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7.66</v>
      </c>
      <c r="C11" s="10">
        <v>7.75</v>
      </c>
      <c r="D11" s="10">
        <v>7.57</v>
      </c>
      <c r="E11" s="10">
        <v>7.62</v>
      </c>
      <c r="F11" s="10">
        <v>7.62</v>
      </c>
      <c r="G11">
        <v>1343500</v>
      </c>
      <c r="H11" s="10">
        <f>IF(tbl_LTHM[[#This Row],[Date]]=$A$5, $F11, EMA_Beta*$H10 + (1-EMA_Beta)*$F11)</f>
        <v>7.4400962999999996</v>
      </c>
      <c r="I11" s="46" t="str">
        <f ca="1">IF(tbl_LTHM[[#This Row],[RS]]= "", "", 100-(100/(1+tbl_LTHM[[#This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IF(tbl_LTHM[[#This Row],[BB_Mean]]="", "", tbl_LTHM[[#This Row],[BB_Mean]]+(BB_Width*tbl_LTHM[[#This Row],[BB_Stdev]]))</f>
        <v/>
      </c>
      <c r="L11" s="10" t="str">
        <f ca="1">IF(tbl_LTHM[[#This Row],[BB_Mean]]="", "", tbl_LTHM[[#This Row],[BB_Mean]]-(BB_Width*tbl_LTHM[[#This Row],[BB_Stdev]]))</f>
        <v/>
      </c>
      <c r="M11" s="46">
        <f>IF(ROW(tbl_LTHM[[#This Row],[Adj Close]])=5, 0, $F11-$F10)</f>
        <v>3.0000000000000249E-2</v>
      </c>
      <c r="N11" s="46">
        <f>MAX(tbl_LTHM[[#This Row],[Move]],0)</f>
        <v>3.0000000000000249E-2</v>
      </c>
      <c r="O11" s="46">
        <f>MAX(-tbl_LTHM[[#This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IF(tbl_LTHM[[#This Row],[Avg_Upmove]]="", "", tbl_LTHM[[#This Row],[Avg_Upmove]]/tbl_LTHM[[#This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7.59</v>
      </c>
      <c r="C12" s="10">
        <v>7.75</v>
      </c>
      <c r="D12" s="10">
        <v>7.5</v>
      </c>
      <c r="E12" s="10">
        <v>7.58</v>
      </c>
      <c r="F12" s="10">
        <v>7.58</v>
      </c>
      <c r="G12">
        <v>1130700</v>
      </c>
      <c r="H12" s="10">
        <f>IF(tbl_LTHM[[#This Row],[Date]]=$A$5, $F12, EMA_Beta*$H11 + (1-EMA_Beta)*$F12)</f>
        <v>7.4540866699999997</v>
      </c>
      <c r="I12" s="46" t="str">
        <f ca="1">IF(tbl_LTHM[[#This Row],[RS]]= "", "", 100-(100/(1+tbl_LTHM[[#This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IF(tbl_LTHM[[#This Row],[BB_Mean]]="", "", tbl_LTHM[[#This Row],[BB_Mean]]+(BB_Width*tbl_LTHM[[#This Row],[BB_Stdev]]))</f>
        <v/>
      </c>
      <c r="L12" s="10" t="str">
        <f ca="1">IF(tbl_LTHM[[#This Row],[BB_Mean]]="", "", tbl_LTHM[[#This Row],[BB_Mean]]-(BB_Width*tbl_LTHM[[#This Row],[BB_Stdev]]))</f>
        <v/>
      </c>
      <c r="M12" s="46">
        <f>IF(ROW(tbl_LTHM[[#This Row],[Adj Close]])=5, 0, $F12-$F11)</f>
        <v>-4.0000000000000036E-2</v>
      </c>
      <c r="N12" s="46">
        <f>MAX(tbl_LTHM[[#This Row],[Move]],0)</f>
        <v>0</v>
      </c>
      <c r="O12" s="46">
        <f>MAX(-tbl_LTHM[[#This Row],[Move]],0)</f>
        <v>4.0000000000000036E-2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IF(tbl_LTHM[[#This Row],[Avg_Upmove]]="", "", tbl_LTHM[[#This Row],[Avg_Upmove]]/tbl_LTHM[[#This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7.5</v>
      </c>
      <c r="C13" s="10">
        <v>7.53</v>
      </c>
      <c r="D13" s="10">
        <v>7.33</v>
      </c>
      <c r="E13" s="10">
        <v>7.36</v>
      </c>
      <c r="F13" s="10">
        <v>7.36</v>
      </c>
      <c r="G13">
        <v>2106200</v>
      </c>
      <c r="H13" s="10">
        <f>IF(tbl_LTHM[[#This Row],[Date]]=$A$5, $F13, EMA_Beta*$H12 + (1-EMA_Beta)*$F13)</f>
        <v>7.4446780029999999</v>
      </c>
      <c r="I13" s="46" t="str">
        <f ca="1">IF(tbl_LTHM[[#This Row],[RS]]= "", "", 100-(100/(1+tbl_LTHM[[#This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IF(tbl_LTHM[[#This Row],[BB_Mean]]="", "", tbl_LTHM[[#This Row],[BB_Mean]]+(BB_Width*tbl_LTHM[[#This Row],[BB_Stdev]]))</f>
        <v/>
      </c>
      <c r="L13" s="10" t="str">
        <f ca="1">IF(tbl_LTHM[[#This Row],[BB_Mean]]="", "", tbl_LTHM[[#This Row],[BB_Mean]]-(BB_Width*tbl_LTHM[[#This Row],[BB_Stdev]]))</f>
        <v/>
      </c>
      <c r="M13" s="46">
        <f>IF(ROW(tbl_LTHM[[#This Row],[Adj Close]])=5, 0, $F13-$F12)</f>
        <v>-0.21999999999999975</v>
      </c>
      <c r="N13" s="46">
        <f>MAX(tbl_LTHM[[#This Row],[Move]],0)</f>
        <v>0</v>
      </c>
      <c r="O13" s="46">
        <f>MAX(-tbl_LTHM[[#This Row],[Move]],0)</f>
        <v>0.21999999999999975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IF(tbl_LTHM[[#This Row],[Avg_Upmove]]="", "", tbl_LTHM[[#This Row],[Avg_Upmove]]/tbl_LTHM[[#This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7.43</v>
      </c>
      <c r="C14" s="10">
        <v>7.51</v>
      </c>
      <c r="D14" s="10">
        <v>7.22</v>
      </c>
      <c r="E14" s="10">
        <v>7.3</v>
      </c>
      <c r="F14" s="10">
        <v>7.3</v>
      </c>
      <c r="G14">
        <v>1046700</v>
      </c>
      <c r="H14" s="10">
        <f>IF(tbl_LTHM[[#This Row],[Date]]=$A$5, $F14, EMA_Beta*$H13 + (1-EMA_Beta)*$F14)</f>
        <v>7.4302102026999997</v>
      </c>
      <c r="I14" s="46" t="str">
        <f ca="1">IF(tbl_LTHM[[#This Row],[RS]]= "", "", 100-(100/(1+tbl_LTHM[[#This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IF(tbl_LTHM[[#This Row],[BB_Mean]]="", "", tbl_LTHM[[#This Row],[BB_Mean]]+(BB_Width*tbl_LTHM[[#This Row],[BB_Stdev]]))</f>
        <v/>
      </c>
      <c r="L14" s="10" t="str">
        <f ca="1">IF(tbl_LTHM[[#This Row],[BB_Mean]]="", "", tbl_LTHM[[#This Row],[BB_Mean]]-(BB_Width*tbl_LTHM[[#This Row],[BB_Stdev]]))</f>
        <v/>
      </c>
      <c r="M14" s="46">
        <f>IF(ROW(tbl_LTHM[[#This Row],[Adj Close]])=5, 0, $F14-$F13)</f>
        <v>-6.0000000000000497E-2</v>
      </c>
      <c r="N14" s="46">
        <f>MAX(tbl_LTHM[[#This Row],[Move]],0)</f>
        <v>0</v>
      </c>
      <c r="O14" s="46">
        <f>MAX(-tbl_LTHM[[#This Row],[Move]],0)</f>
        <v>6.0000000000000497E-2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IF(tbl_LTHM[[#This Row],[Avg_Upmove]]="", "", tbl_LTHM[[#This Row],[Avg_Upmove]]/tbl_LTHM[[#This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7.42</v>
      </c>
      <c r="C15" s="10">
        <v>7.61</v>
      </c>
      <c r="D15" s="10">
        <v>7.31</v>
      </c>
      <c r="E15" s="10">
        <v>7.55</v>
      </c>
      <c r="F15" s="10">
        <v>7.55</v>
      </c>
      <c r="G15">
        <v>1327500</v>
      </c>
      <c r="H15" s="10">
        <f>IF(tbl_LTHM[[#This Row],[Date]]=$A$5, $F15, EMA_Beta*$H14 + (1-EMA_Beta)*$F15)</f>
        <v>7.4421891824299999</v>
      </c>
      <c r="I15" s="46" t="str">
        <f ca="1">IF(tbl_LTHM[[#This Row],[RS]]= "", "", 100-(100/(1+tbl_LTHM[[#This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IF(tbl_LTHM[[#This Row],[BB_Mean]]="", "", tbl_LTHM[[#This Row],[BB_Mean]]+(BB_Width*tbl_LTHM[[#This Row],[BB_Stdev]]))</f>
        <v/>
      </c>
      <c r="L15" s="10" t="str">
        <f ca="1">IF(tbl_LTHM[[#This Row],[BB_Mean]]="", "", tbl_LTHM[[#This Row],[BB_Mean]]-(BB_Width*tbl_LTHM[[#This Row],[BB_Stdev]]))</f>
        <v/>
      </c>
      <c r="M15" s="46">
        <f>IF(ROW(tbl_LTHM[[#This Row],[Adj Close]])=5, 0, $F15-$F14)</f>
        <v>0.25</v>
      </c>
      <c r="N15" s="46">
        <f>MAX(tbl_LTHM[[#This Row],[Move]],0)</f>
        <v>0.25</v>
      </c>
      <c r="O15" s="46">
        <f>MAX(-tbl_LTHM[[#This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IF(tbl_LTHM[[#This Row],[Avg_Upmove]]="", "", tbl_LTHM[[#This Row],[Avg_Upmove]]/tbl_LTHM[[#This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7.61</v>
      </c>
      <c r="C16" s="10">
        <v>7.76</v>
      </c>
      <c r="D16" s="10">
        <v>7.55</v>
      </c>
      <c r="E16" s="10">
        <v>7.63</v>
      </c>
      <c r="F16" s="10">
        <v>7.63</v>
      </c>
      <c r="G16">
        <v>942400</v>
      </c>
      <c r="H16" s="10">
        <f>IF(tbl_LTHM[[#This Row],[Date]]=$A$5, $F16, EMA_Beta*$H15 + (1-EMA_Beta)*$F16)</f>
        <v>7.4609702641869999</v>
      </c>
      <c r="I16" s="46" t="str">
        <f ca="1">IF(tbl_LTHM[[#This Row],[RS]]= "", "", 100-(100/(1+tbl_LTHM[[#This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IF(tbl_LTHM[[#This Row],[BB_Mean]]="", "", tbl_LTHM[[#This Row],[BB_Mean]]+(BB_Width*tbl_LTHM[[#This Row],[BB_Stdev]]))</f>
        <v/>
      </c>
      <c r="L16" s="10" t="str">
        <f ca="1">IF(tbl_LTHM[[#This Row],[BB_Mean]]="", "", tbl_LTHM[[#This Row],[BB_Mean]]-(BB_Width*tbl_LTHM[[#This Row],[BB_Stdev]]))</f>
        <v/>
      </c>
      <c r="M16" s="46">
        <f>IF(ROW(tbl_LTHM[[#This Row],[Adj Close]])=5, 0, $F16-$F15)</f>
        <v>8.0000000000000071E-2</v>
      </c>
      <c r="N16" s="46">
        <f>MAX(tbl_LTHM[[#This Row],[Move]],0)</f>
        <v>8.0000000000000071E-2</v>
      </c>
      <c r="O16" s="46">
        <f>MAX(-tbl_LTHM[[#This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IF(tbl_LTHM[[#This Row],[Avg_Upmove]]="", "", tbl_LTHM[[#This Row],[Avg_Upmove]]/tbl_LTHM[[#This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7.9</v>
      </c>
      <c r="C17" s="10">
        <v>8.4700000000000006</v>
      </c>
      <c r="D17" s="10">
        <v>7.88</v>
      </c>
      <c r="E17" s="10">
        <v>8.17</v>
      </c>
      <c r="F17" s="10">
        <v>8.17</v>
      </c>
      <c r="G17">
        <v>4618400</v>
      </c>
      <c r="H17" s="10">
        <f>IF(tbl_LTHM[[#This Row],[Date]]=$A$5, $F17, EMA_Beta*$H16 + (1-EMA_Beta)*$F17)</f>
        <v>7.5318732377683002</v>
      </c>
      <c r="I17" s="46" t="str">
        <f ca="1">IF(tbl_LTHM[[#This Row],[RS]]= "", "", 100-(100/(1+tbl_LTHM[[#This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IF(tbl_LTHM[[#This Row],[BB_Mean]]="", "", tbl_LTHM[[#This Row],[BB_Mean]]+(BB_Width*tbl_LTHM[[#This Row],[BB_Stdev]]))</f>
        <v/>
      </c>
      <c r="L17" s="10" t="str">
        <f ca="1">IF(tbl_LTHM[[#This Row],[BB_Mean]]="", "", tbl_LTHM[[#This Row],[BB_Mean]]-(BB_Width*tbl_LTHM[[#This Row],[BB_Stdev]]))</f>
        <v/>
      </c>
      <c r="M17" s="46">
        <f>IF(ROW(tbl_LTHM[[#This Row],[Adj Close]])=5, 0, $F17-$F16)</f>
        <v>0.54</v>
      </c>
      <c r="N17" s="46">
        <f>MAX(tbl_LTHM[[#This Row],[Move]],0)</f>
        <v>0.54</v>
      </c>
      <c r="O17" s="46">
        <f>MAX(-tbl_LTHM[[#This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IF(tbl_LTHM[[#This Row],[Avg_Upmove]]="", "", tbl_LTHM[[#This Row],[Avg_Upmove]]/tbl_LTHM[[#This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8.3699999999999992</v>
      </c>
      <c r="C18" s="10">
        <v>8.3699999999999992</v>
      </c>
      <c r="D18" s="10">
        <v>7.91</v>
      </c>
      <c r="E18" s="10">
        <v>8.17</v>
      </c>
      <c r="F18" s="10">
        <v>8.17</v>
      </c>
      <c r="G18">
        <v>2104800</v>
      </c>
      <c r="H18" s="10">
        <f>IF(tbl_LTHM[[#This Row],[Date]]=$A$5, $F18, EMA_Beta*$H17 + (1-EMA_Beta)*$F18)</f>
        <v>7.5956859139914705</v>
      </c>
      <c r="I18" s="46" t="str">
        <f ca="1">IF(tbl_LTHM[[#This Row],[RS]]= "", "", 100-(100/(1+tbl_LTHM[[#This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7.6035714285714286</v>
      </c>
      <c r="K18" s="10">
        <f ca="1">IF(tbl_LTHM[[#This Row],[BB_Mean]]="", "", tbl_LTHM[[#This Row],[BB_Mean]]+(BB_Width*tbl_LTHM[[#This Row],[BB_Stdev]]))</f>
        <v>8.1394018921644253</v>
      </c>
      <c r="L18" s="10">
        <f ca="1">IF(tbl_LTHM[[#This Row],[BB_Mean]]="", "", tbl_LTHM[[#This Row],[BB_Mean]]-(BB_Width*tbl_LTHM[[#This Row],[BB_Stdev]]))</f>
        <v>7.067740964978432</v>
      </c>
      <c r="M18" s="46">
        <f>IF(ROW(tbl_LTHM[[#This Row],[Adj Close]])=5, 0, $F18-$F17)</f>
        <v>0</v>
      </c>
      <c r="N18" s="46">
        <f>MAX(tbl_LTHM[[#This Row],[Move]],0)</f>
        <v>0</v>
      </c>
      <c r="O18" s="46">
        <f>MAX(-tbl_LTHM[[#This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IF(tbl_LTHM[[#This Row],[Avg_Upmove]]="", "", tbl_LTHM[[#This Row],[Avg_Upmove]]/tbl_LTHM[[#This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0.26791523179649829</v>
      </c>
    </row>
    <row r="19" spans="1:19" x14ac:dyDescent="0.35">
      <c r="A19" s="8">
        <v>44071</v>
      </c>
      <c r="B19" s="10">
        <v>8.19</v>
      </c>
      <c r="C19" s="10">
        <v>8.6999999999999993</v>
      </c>
      <c r="D19" s="10">
        <v>8.0399999999999991</v>
      </c>
      <c r="E19" s="10">
        <v>8.65</v>
      </c>
      <c r="F19" s="10">
        <v>8.65</v>
      </c>
      <c r="G19">
        <v>2872100</v>
      </c>
      <c r="H19" s="10">
        <f>IF(tbl_LTHM[[#This Row],[Date]]=$A$5, $F19, EMA_Beta*$H18 + (1-EMA_Beta)*$F19)</f>
        <v>7.7011173225923235</v>
      </c>
      <c r="I19" s="46">
        <f ca="1">IF(tbl_LTHM[[#This Row],[RS]]= "", "", 100-(100/(1+tbl_LTHM[[#This Row],[RS]])))</f>
        <v>75.984251968503941</v>
      </c>
      <c r="J19" s="10">
        <f ca="1">IF(ROW($N19)-4&lt;BB_Periods, "", AVERAGE(INDIRECT(ADDRESS(ROW($F19)-RSI_Periods +1, MATCH("Adj Close", Price_Header,0))): INDIRECT(ADDRESS(ROW($F19),MATCH("Adj Close", Price_Header,0)))))</f>
        <v>7.697857142857143</v>
      </c>
      <c r="K19" s="10">
        <f ca="1">IF(tbl_LTHM[[#This Row],[BB_Mean]]="", "", tbl_LTHM[[#This Row],[BB_Mean]]+(BB_Width*tbl_LTHM[[#This Row],[BB_Stdev]]))</f>
        <v>8.4480029162363444</v>
      </c>
      <c r="L19" s="10">
        <f ca="1">IF(tbl_LTHM[[#This Row],[BB_Mean]]="", "", tbl_LTHM[[#This Row],[BB_Mean]]-(BB_Width*tbl_LTHM[[#This Row],[BB_Stdev]]))</f>
        <v>6.9477113694779407</v>
      </c>
      <c r="M19" s="46">
        <f>IF(ROW(tbl_LTHM[[#This Row],[Adj Close]])=5, 0, $F19-$F18)</f>
        <v>0.48000000000000043</v>
      </c>
      <c r="N19" s="46">
        <f>MAX(tbl_LTHM[[#This Row],[Move]],0)</f>
        <v>0.48000000000000043</v>
      </c>
      <c r="O19" s="46">
        <f>MAX(-tbl_LTHM[[#This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0.1378571428571429</v>
      </c>
      <c r="Q19" s="46">
        <f ca="1">IF(ROW($O19)-5&lt;RSI_Periods, "", AVERAGE(INDIRECT(ADDRESS(ROW($O19)-RSI_Periods +1, MATCH("Downmove", Price_Header,0))): INDIRECT(ADDRESS(ROW($O19),MATCH("Downmove", Price_Header,0)))))</f>
        <v>4.3571428571428594E-2</v>
      </c>
      <c r="R19" s="46">
        <f ca="1">IF(tbl_LTHM[[#This Row],[Avg_Upmove]]="", "", tbl_LTHM[[#This Row],[Avg_Upmove]]/tbl_LTHM[[#This Row],[Avg_Downmove]])</f>
        <v>3.1639344262295075</v>
      </c>
      <c r="S19" s="10">
        <f ca="1">IF(ROW($N19)-4&lt;BB_Periods, "", _xlfn.STDEV.S(INDIRECT(ADDRESS(ROW($F19)-RSI_Periods +1, MATCH("Adj Close", Price_Header,0))): INDIRECT(ADDRESS(ROW($F19),MATCH("Adj Close", Price_Header,0)))))</f>
        <v>0.37507288668960115</v>
      </c>
    </row>
    <row r="20" spans="1:19" x14ac:dyDescent="0.35">
      <c r="A20" s="8">
        <v>44074</v>
      </c>
      <c r="B20" s="10">
        <v>8.8000000000000007</v>
      </c>
      <c r="C20" s="10">
        <v>8.9700000000000006</v>
      </c>
      <c r="D20" s="10">
        <v>8.36</v>
      </c>
      <c r="E20" s="10">
        <v>8.48</v>
      </c>
      <c r="F20" s="10">
        <v>8.48</v>
      </c>
      <c r="G20">
        <v>3850800</v>
      </c>
      <c r="H20" s="10">
        <f>IF(tbl_LTHM[[#This Row],[Date]]=$A$5, $F20, EMA_Beta*$H19 + (1-EMA_Beta)*$F20)</f>
        <v>7.7790055903330915</v>
      </c>
      <c r="I20" s="46">
        <f ca="1">IF(tbl_LTHM[[#This Row],[RS]]= "", "", 100-(100/(1+tbl_LTHM[[#This Row],[RS]])))</f>
        <v>67.634854771784234</v>
      </c>
      <c r="J20" s="10">
        <f ca="1">IF(ROW($N20)-4&lt;BB_Periods, "", AVERAGE(INDIRECT(ADDRESS(ROW($F20)-RSI_Periods +1, MATCH("Adj Close", Price_Header,0))): INDIRECT(ADDRESS(ROW($F20),MATCH("Adj Close", Price_Header,0)))))</f>
        <v>7.7585714285714289</v>
      </c>
      <c r="K20" s="10">
        <f ca="1">IF(tbl_LTHM[[#This Row],[BB_Mean]]="", "", tbl_LTHM[[#This Row],[BB_Mean]]+(BB_Width*tbl_LTHM[[#This Row],[BB_Stdev]]))</f>
        <v>8.6151067443948612</v>
      </c>
      <c r="L20" s="10">
        <f ca="1">IF(tbl_LTHM[[#This Row],[BB_Mean]]="", "", tbl_LTHM[[#This Row],[BB_Mean]]-(BB_Width*tbl_LTHM[[#This Row],[BB_Stdev]]))</f>
        <v>6.9020361127479966</v>
      </c>
      <c r="M20" s="46">
        <f>IF(ROW(tbl_LTHM[[#This Row],[Adj Close]])=5, 0, $F20-$F19)</f>
        <v>-0.16999999999999993</v>
      </c>
      <c r="N20" s="46">
        <f>MAX(tbl_LTHM[[#This Row],[Move]],0)</f>
        <v>0</v>
      </c>
      <c r="O20" s="46">
        <f>MAX(-tbl_LTHM[[#This Row],[Move]],0)</f>
        <v>0.16999999999999993</v>
      </c>
      <c r="P20" s="46">
        <f ca="1">IF(ROW($N20)-5&lt;RSI_Periods, "", AVERAGE(INDIRECT(ADDRESS(ROW($N20)-RSI_Periods +1, MATCH("Upmove", Price_Header,0))): INDIRECT(ADDRESS(ROW($N20),MATCH("Upmove", Price_Header,0)))))</f>
        <v>0.11642857142857148</v>
      </c>
      <c r="Q20" s="46">
        <f ca="1">IF(ROW($O20)-5&lt;RSI_Periods, "", AVERAGE(INDIRECT(ADDRESS(ROW($O20)-RSI_Periods +1, MATCH("Downmove", Price_Header,0))): INDIRECT(ADDRESS(ROW($O20),MATCH("Downmove", Price_Header,0)))))</f>
        <v>5.571428571428573E-2</v>
      </c>
      <c r="R20" s="46">
        <f ca="1">IF(tbl_LTHM[[#This Row],[Avg_Upmove]]="", "", tbl_LTHM[[#This Row],[Avg_Upmove]]/tbl_LTHM[[#This Row],[Avg_Downmove]])</f>
        <v>2.0897435897435899</v>
      </c>
      <c r="S20" s="10">
        <f ca="1">IF(ROW($N20)-4&lt;BB_Periods, "", _xlfn.STDEV.S(INDIRECT(ADDRESS(ROW($F20)-RSI_Periods +1, MATCH("Adj Close", Price_Header,0))): INDIRECT(ADDRESS(ROW($F20),MATCH("Adj Close", Price_Header,0)))))</f>
        <v>0.42826765791171634</v>
      </c>
    </row>
    <row r="21" spans="1:19" x14ac:dyDescent="0.35">
      <c r="A21" s="8">
        <v>44075</v>
      </c>
      <c r="B21" s="10">
        <v>8.41</v>
      </c>
      <c r="C21" s="10">
        <v>9.0399999999999991</v>
      </c>
      <c r="D21" s="10">
        <v>8.35</v>
      </c>
      <c r="E21" s="10">
        <v>9</v>
      </c>
      <c r="F21" s="10">
        <v>9</v>
      </c>
      <c r="G21">
        <v>2914600</v>
      </c>
      <c r="H21" s="10">
        <f>IF(tbl_LTHM[[#This Row],[Date]]=$A$5, $F21, EMA_Beta*$H20 + (1-EMA_Beta)*$F21)</f>
        <v>7.9011050312997817</v>
      </c>
      <c r="I21" s="46">
        <f ca="1">IF(tbl_LTHM[[#This Row],[RS]]= "", "", 100-(100/(1+tbl_LTHM[[#This Row],[RS]])))</f>
        <v>77.06093189964156</v>
      </c>
      <c r="J21" s="10">
        <f ca="1">IF(ROW($N21)-4&lt;BB_Periods, "", AVERAGE(INDIRECT(ADDRESS(ROW($F21)-RSI_Periods +1, MATCH("Adj Close", Price_Header,0))): INDIRECT(ADDRESS(ROW($F21),MATCH("Adj Close", Price_Header,0)))))</f>
        <v>7.866428571428572</v>
      </c>
      <c r="K21" s="10">
        <f ca="1">IF(tbl_LTHM[[#This Row],[BB_Mean]]="", "", tbl_LTHM[[#This Row],[BB_Mean]]+(BB_Width*tbl_LTHM[[#This Row],[BB_Stdev]]))</f>
        <v>8.9320481353185439</v>
      </c>
      <c r="L21" s="10">
        <f ca="1">IF(tbl_LTHM[[#This Row],[BB_Mean]]="", "", tbl_LTHM[[#This Row],[BB_Mean]]-(BB_Width*tbl_LTHM[[#This Row],[BB_Stdev]]))</f>
        <v>6.8008090075385992</v>
      </c>
      <c r="M21" s="46">
        <f>IF(ROW(tbl_LTHM[[#This Row],[Adj Close]])=5, 0, $F21-$F20)</f>
        <v>0.51999999999999957</v>
      </c>
      <c r="N21" s="46">
        <f>MAX(tbl_LTHM[[#This Row],[Move]],0)</f>
        <v>0.51999999999999957</v>
      </c>
      <c r="O21" s="46">
        <f>MAX(-tbl_LTHM[[#This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0.15357142857142861</v>
      </c>
      <c r="Q21" s="46">
        <f ca="1">IF(ROW($O21)-5&lt;RSI_Periods, "", AVERAGE(INDIRECT(ADDRESS(ROW($O21)-RSI_Periods +1, MATCH("Downmove", Price_Header,0))): INDIRECT(ADDRESS(ROW($O21),MATCH("Downmove", Price_Header,0)))))</f>
        <v>4.5714285714285756E-2</v>
      </c>
      <c r="R21" s="46">
        <f ca="1">IF(tbl_LTHM[[#This Row],[Avg_Upmove]]="", "", tbl_LTHM[[#This Row],[Avg_Upmove]]/tbl_LTHM[[#This Row],[Avg_Downmove]])</f>
        <v>3.3593749999999978</v>
      </c>
      <c r="S21" s="10">
        <f ca="1">IF(ROW($N21)-4&lt;BB_Periods, "", _xlfn.STDEV.S(INDIRECT(ADDRESS(ROW($F21)-RSI_Periods +1, MATCH("Adj Close", Price_Header,0))): INDIRECT(ADDRESS(ROW($F21),MATCH("Adj Close", Price_Header,0)))))</f>
        <v>0.53280978194498629</v>
      </c>
    </row>
    <row r="22" spans="1:19" x14ac:dyDescent="0.35">
      <c r="A22" s="8">
        <v>44076</v>
      </c>
      <c r="B22" s="10">
        <v>9.0299999999999994</v>
      </c>
      <c r="C22" s="10">
        <v>9.3000000000000007</v>
      </c>
      <c r="D22" s="10">
        <v>8.9700000000000006</v>
      </c>
      <c r="E22" s="10">
        <v>9.26</v>
      </c>
      <c r="F22" s="10">
        <v>9.26</v>
      </c>
      <c r="G22">
        <v>2976500</v>
      </c>
      <c r="H22" s="10">
        <f>IF(tbl_LTHM[[#This Row],[Date]]=$A$5, $F22, EMA_Beta*$H21 + (1-EMA_Beta)*$F22)</f>
        <v>8.036994528169803</v>
      </c>
      <c r="I22" s="46">
        <f ca="1">IF(tbl_LTHM[[#This Row],[RS]]= "", "", 100-(100/(1+tbl_LTHM[[#This Row],[RS]])))</f>
        <v>81.694915254237287</v>
      </c>
      <c r="J22" s="10">
        <f ca="1">IF(ROW($N22)-4&lt;BB_Periods, "", AVERAGE(INDIRECT(ADDRESS(ROW($F22)-RSI_Periods +1, MATCH("Adj Close", Price_Header,0))): INDIRECT(ADDRESS(ROW($F22),MATCH("Adj Close", Price_Header,0)))))</f>
        <v>8.0000000000000018</v>
      </c>
      <c r="K22" s="10">
        <f ca="1">IF(tbl_LTHM[[#This Row],[BB_Mean]]="", "", tbl_LTHM[[#This Row],[BB_Mean]]+(BB_Width*tbl_LTHM[[#This Row],[BB_Stdev]]))</f>
        <v>9.2595237195067046</v>
      </c>
      <c r="L22" s="10">
        <f ca="1">IF(tbl_LTHM[[#This Row],[BB_Mean]]="", "", tbl_LTHM[[#This Row],[BB_Mean]]-(BB_Width*tbl_LTHM[[#This Row],[BB_Stdev]]))</f>
        <v>6.7404762804932989</v>
      </c>
      <c r="M22" s="46">
        <f>IF(ROW(tbl_LTHM[[#This Row],[Adj Close]])=5, 0, $F22-$F21)</f>
        <v>0.25999999999999979</v>
      </c>
      <c r="N22" s="46">
        <f>MAX(tbl_LTHM[[#This Row],[Move]],0)</f>
        <v>0.25999999999999979</v>
      </c>
      <c r="O22" s="46">
        <f>MAX(-tbl_LTHM[[#This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0.17214285714285715</v>
      </c>
      <c r="Q22" s="46">
        <f ca="1">IF(ROW($O22)-5&lt;RSI_Periods, "", AVERAGE(INDIRECT(ADDRESS(ROW($O22)-RSI_Periods +1, MATCH("Downmove", Price_Header,0))): INDIRECT(ADDRESS(ROW($O22),MATCH("Downmove", Price_Header,0)))))</f>
        <v>3.8571428571428576E-2</v>
      </c>
      <c r="R22" s="46">
        <f ca="1">IF(tbl_LTHM[[#This Row],[Avg_Upmove]]="", "", tbl_LTHM[[#This Row],[Avg_Upmove]]/tbl_LTHM[[#This Row],[Avg_Downmove]])</f>
        <v>4.4629629629629628</v>
      </c>
      <c r="S22" s="10">
        <f ca="1">IF(ROW($N22)-4&lt;BB_Periods, "", _xlfn.STDEV.S(INDIRECT(ADDRESS(ROW($F22)-RSI_Periods +1, MATCH("Adj Close", Price_Header,0))): INDIRECT(ADDRESS(ROW($F22),MATCH("Adj Close", Price_Header,0)))))</f>
        <v>0.62976185975335153</v>
      </c>
    </row>
    <row r="23" spans="1:19" x14ac:dyDescent="0.35">
      <c r="A23" s="8">
        <v>44077</v>
      </c>
      <c r="B23" s="10">
        <v>9.15</v>
      </c>
      <c r="C23" s="10">
        <v>9.1999999999999993</v>
      </c>
      <c r="D23" s="10">
        <v>8.5</v>
      </c>
      <c r="E23" s="10">
        <v>8.67</v>
      </c>
      <c r="F23" s="10">
        <v>8.67</v>
      </c>
      <c r="G23">
        <v>3676100</v>
      </c>
      <c r="H23" s="10">
        <f>IF(tbl_LTHM[[#This Row],[Date]]=$A$5, $F23, EMA_Beta*$H22 + (1-EMA_Beta)*$F23)</f>
        <v>8.1002950753528218</v>
      </c>
      <c r="I23" s="46">
        <f ca="1">IF(tbl_LTHM[[#This Row],[RS]]= "", "", 100-(100/(1+tbl_LTHM[[#This Row],[RS]])))</f>
        <v>65.653495440729486</v>
      </c>
      <c r="J23" s="10">
        <f ca="1">IF(ROW($N23)-4&lt;BB_Periods, "", AVERAGE(INDIRECT(ADDRESS(ROW($F23)-RSI_Periods +1, MATCH("Adj Close", Price_Header,0))): INDIRECT(ADDRESS(ROW($F23),MATCH("Adj Close", Price_Header,0)))))</f>
        <v>8.0735714285714302</v>
      </c>
      <c r="K23" s="10">
        <f ca="1">IF(tbl_LTHM[[#This Row],[BB_Mean]]="", "", tbl_LTHM[[#This Row],[BB_Mean]]+(BB_Width*tbl_LTHM[[#This Row],[BB_Stdev]]))</f>
        <v>9.3624972101157642</v>
      </c>
      <c r="L23" s="10">
        <f ca="1">IF(tbl_LTHM[[#This Row],[BB_Mean]]="", "", tbl_LTHM[[#This Row],[BB_Mean]]-(BB_Width*tbl_LTHM[[#This Row],[BB_Stdev]]))</f>
        <v>6.784645647027097</v>
      </c>
      <c r="M23" s="46">
        <f>IF(ROW(tbl_LTHM[[#This Row],[Adj Close]])=5, 0, $F23-$F22)</f>
        <v>-0.58999999999999986</v>
      </c>
      <c r="N23" s="46">
        <f>MAX(tbl_LTHM[[#This Row],[Move]],0)</f>
        <v>0</v>
      </c>
      <c r="O23" s="46">
        <f>MAX(-tbl_LTHM[[#This Row],[Move]],0)</f>
        <v>0.58999999999999986</v>
      </c>
      <c r="P23" s="46">
        <f ca="1">IF(ROW($N23)-5&lt;RSI_Periods, "", AVERAGE(INDIRECT(ADDRESS(ROW($N23)-RSI_Periods +1, MATCH("Upmove", Price_Header,0))): INDIRECT(ADDRESS(ROW($N23),MATCH("Upmove", Price_Header,0)))))</f>
        <v>0.1542857142857143</v>
      </c>
      <c r="Q23" s="46">
        <f ca="1">IF(ROW($O23)-5&lt;RSI_Periods, "", AVERAGE(INDIRECT(ADDRESS(ROW($O23)-RSI_Periods +1, MATCH("Downmove", Price_Header,0))): INDIRECT(ADDRESS(ROW($O23),MATCH("Downmove", Price_Header,0)))))</f>
        <v>8.0714285714285711E-2</v>
      </c>
      <c r="R23" s="46">
        <f ca="1">IF(tbl_LTHM[[#This Row],[Avg_Upmove]]="", "", tbl_LTHM[[#This Row],[Avg_Upmove]]/tbl_LTHM[[#This Row],[Avg_Downmove]])</f>
        <v>1.9115044247787614</v>
      </c>
      <c r="S23" s="10">
        <f ca="1">IF(ROW($N23)-4&lt;BB_Periods, "", _xlfn.STDEV.S(INDIRECT(ADDRESS(ROW($F23)-RSI_Periods +1, MATCH("Adj Close", Price_Header,0))): INDIRECT(ADDRESS(ROW($F23),MATCH("Adj Close", Price_Header,0)))))</f>
        <v>0.64446289077216667</v>
      </c>
    </row>
    <row r="24" spans="1:19" x14ac:dyDescent="0.35">
      <c r="A24" s="8">
        <v>44078</v>
      </c>
      <c r="B24" s="10">
        <v>8.8000000000000007</v>
      </c>
      <c r="C24" s="10">
        <v>8.8800000000000008</v>
      </c>
      <c r="D24" s="10">
        <v>8.25</v>
      </c>
      <c r="E24" s="10">
        <v>8.65</v>
      </c>
      <c r="F24" s="10">
        <v>8.65</v>
      </c>
      <c r="G24">
        <v>1836700</v>
      </c>
      <c r="H24" s="10">
        <f>IF(tbl_LTHM[[#This Row],[Date]]=$A$5, $F24, EMA_Beta*$H23 + (1-EMA_Beta)*$F24)</f>
        <v>8.1552655678175388</v>
      </c>
      <c r="I24" s="46">
        <f ca="1">IF(tbl_LTHM[[#This Row],[RS]]= "", "", 100-(100/(1+tbl_LTHM[[#This Row],[RS]])))</f>
        <v>66.257668711656464</v>
      </c>
      <c r="J24" s="10">
        <f ca="1">IF(ROW($N24)-4&lt;BB_Periods, "", AVERAGE(INDIRECT(ADDRESS(ROW($F24)-RSI_Periods +1, MATCH("Adj Close", Price_Header,0))): INDIRECT(ADDRESS(ROW($F24),MATCH("Adj Close", Price_Header,0)))))</f>
        <v>8.1492857142857158</v>
      </c>
      <c r="K24" s="10">
        <f ca="1">IF(tbl_LTHM[[#This Row],[BB_Mean]]="", "", tbl_LTHM[[#This Row],[BB_Mean]]+(BB_Width*tbl_LTHM[[#This Row],[BB_Stdev]]))</f>
        <v>9.440378615327651</v>
      </c>
      <c r="L24" s="10">
        <f ca="1">IF(tbl_LTHM[[#This Row],[BB_Mean]]="", "", tbl_LTHM[[#This Row],[BB_Mean]]-(BB_Width*tbl_LTHM[[#This Row],[BB_Stdev]]))</f>
        <v>6.8581928132437806</v>
      </c>
      <c r="M24" s="46">
        <f>IF(ROW(tbl_LTHM[[#This Row],[Adj Close]])=5, 0, $F24-$F23)</f>
        <v>-1.9999999999999574E-2</v>
      </c>
      <c r="N24" s="46">
        <f>MAX(tbl_LTHM[[#This Row],[Move]],0)</f>
        <v>0</v>
      </c>
      <c r="O24" s="46">
        <f>MAX(-tbl_LTHM[[#This Row],[Move]],0)</f>
        <v>1.9999999999999574E-2</v>
      </c>
      <c r="P24" s="46">
        <f ca="1">IF(ROW($N24)-5&lt;RSI_Periods, "", AVERAGE(INDIRECT(ADDRESS(ROW($N24)-RSI_Periods +1, MATCH("Upmove", Price_Header,0))): INDIRECT(ADDRESS(ROW($N24),MATCH("Upmove", Price_Header,0)))))</f>
        <v>0.1542857142857143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IF(tbl_LTHM[[#This Row],[Avg_Upmove]]="", "", tbl_LTHM[[#This Row],[Avg_Upmove]]/tbl_LTHM[[#This Row],[Avg_Downmove]])</f>
        <v>1.9636363636363645</v>
      </c>
      <c r="S24" s="10">
        <f ca="1">IF(ROW($N24)-4&lt;BB_Periods, "", _xlfn.STDEV.S(INDIRECT(ADDRESS(ROW($F24)-RSI_Periods +1, MATCH("Adj Close", Price_Header,0))): INDIRECT(ADDRESS(ROW($F24),MATCH("Adj Close", Price_Header,0)))))</f>
        <v>0.64554645052096737</v>
      </c>
    </row>
    <row r="25" spans="1:19" x14ac:dyDescent="0.35">
      <c r="A25" s="8">
        <v>44082</v>
      </c>
      <c r="B25" s="10">
        <v>8.43</v>
      </c>
      <c r="C25" s="10">
        <v>8.59</v>
      </c>
      <c r="D25" s="10">
        <v>8.26</v>
      </c>
      <c r="E25" s="10">
        <v>8.3800000000000008</v>
      </c>
      <c r="F25" s="10">
        <v>8.3800000000000008</v>
      </c>
      <c r="G25">
        <v>1540700</v>
      </c>
      <c r="H25" s="10">
        <f>IF(tbl_LTHM[[#This Row],[Date]]=$A$5, $F25, EMA_Beta*$H24 + (1-EMA_Beta)*$F25)</f>
        <v>8.1777390110357846</v>
      </c>
      <c r="I25" s="46">
        <f ca="1">IF(tbl_LTHM[[#This Row],[RS]]= "", "", 100-(100/(1+tbl_LTHM[[#This Row],[RS]])))</f>
        <v>60.857142857142868</v>
      </c>
      <c r="J25" s="10">
        <f ca="1">IF(ROW($N25)-4&lt;BB_Periods, "", AVERAGE(INDIRECT(ADDRESS(ROW($F25)-RSI_Periods +1, MATCH("Adj Close", Price_Header,0))): INDIRECT(ADDRESS(ROW($F25),MATCH("Adj Close", Price_Header,0)))))</f>
        <v>8.2035714285714292</v>
      </c>
      <c r="K25" s="10">
        <f ca="1">IF(tbl_LTHM[[#This Row],[BB_Mean]]="", "", tbl_LTHM[[#This Row],[BB_Mean]]+(BB_Width*tbl_LTHM[[#This Row],[BB_Stdev]]))</f>
        <v>9.4623035658455166</v>
      </c>
      <c r="L25" s="10">
        <f ca="1">IF(tbl_LTHM[[#This Row],[BB_Mean]]="", "", tbl_LTHM[[#This Row],[BB_Mean]]-(BB_Width*tbl_LTHM[[#This Row],[BB_Stdev]]))</f>
        <v>6.9448392912973409</v>
      </c>
      <c r="M25" s="46">
        <f>IF(ROW(tbl_LTHM[[#This Row],[Adj Close]])=5, 0, $F25-$F24)</f>
        <v>-0.26999999999999957</v>
      </c>
      <c r="N25" s="46">
        <f>MAX(tbl_LTHM[[#This Row],[Move]],0)</f>
        <v>0</v>
      </c>
      <c r="O25" s="46">
        <f>MAX(-tbl_LTHM[[#This Row],[Move]],0)</f>
        <v>0.26999999999999957</v>
      </c>
      <c r="P25" s="46">
        <f ca="1">IF(ROW($N25)-5&lt;RSI_Periods, "", AVERAGE(INDIRECT(ADDRESS(ROW($N25)-RSI_Periods +1, MATCH("Upmove", Price_Header,0))): INDIRECT(ADDRESS(ROW($N25),MATCH("Upmove", Price_Header,0)))))</f>
        <v>0.15214285714285714</v>
      </c>
      <c r="Q25" s="46">
        <f ca="1">IF(ROW($O25)-5&lt;RSI_Periods, "", AVERAGE(INDIRECT(ADDRESS(ROW($O25)-RSI_Periods +1, MATCH("Downmove", Price_Header,0))): INDIRECT(ADDRESS(ROW($O25),MATCH("Downmove", Price_Header,0)))))</f>
        <v>9.7857142857142795E-2</v>
      </c>
      <c r="R25" s="46">
        <f ca="1">IF(tbl_LTHM[[#This Row],[Avg_Upmove]]="", "", tbl_LTHM[[#This Row],[Avg_Upmove]]/tbl_LTHM[[#This Row],[Avg_Downmove]])</f>
        <v>1.5547445255474461</v>
      </c>
      <c r="S25" s="10">
        <f ca="1">IF(ROW($N25)-4&lt;BB_Periods, "", _xlfn.STDEV.S(INDIRECT(ADDRESS(ROW($F25)-RSI_Periods +1, MATCH("Adj Close", Price_Header,0))): INDIRECT(ADDRESS(ROW($F25),MATCH("Adj Close", Price_Header,0)))))</f>
        <v>0.62936606863704414</v>
      </c>
    </row>
    <row r="26" spans="1:19" x14ac:dyDescent="0.35">
      <c r="A26" s="8">
        <v>44083</v>
      </c>
      <c r="B26" s="10">
        <v>8.48</v>
      </c>
      <c r="C26" s="10">
        <v>8.73</v>
      </c>
      <c r="D26" s="10">
        <v>8.3800000000000008</v>
      </c>
      <c r="E26" s="10">
        <v>8.6300000000000008</v>
      </c>
      <c r="F26" s="10">
        <v>8.6300000000000008</v>
      </c>
      <c r="G26">
        <v>1980400</v>
      </c>
      <c r="H26" s="10">
        <f>IF(tbl_LTHM[[#This Row],[Date]]=$A$5, $F26, EMA_Beta*$H25 + (1-EMA_Beta)*$F26)</f>
        <v>8.2229651099322059</v>
      </c>
      <c r="I26" s="46">
        <f ca="1">IF(tbl_LTHM[[#This Row],[RS]]= "", "", 100-(100/(1+tbl_LTHM[[#This Row],[RS]])))</f>
        <v>64.150943396226438</v>
      </c>
      <c r="J26" s="10">
        <f ca="1">IF(ROW($N26)-4&lt;BB_Periods, "", AVERAGE(INDIRECT(ADDRESS(ROW($F26)-RSI_Periods +1, MATCH("Adj Close", Price_Header,0))): INDIRECT(ADDRESS(ROW($F26),MATCH("Adj Close", Price_Header,0)))))</f>
        <v>8.2785714285714285</v>
      </c>
      <c r="K26" s="10">
        <f ca="1">IF(tbl_LTHM[[#This Row],[BB_Mean]]="", "", tbl_LTHM[[#This Row],[BB_Mean]]+(BB_Width*tbl_LTHM[[#This Row],[BB_Stdev]]))</f>
        <v>9.5018798592149505</v>
      </c>
      <c r="L26" s="10">
        <f ca="1">IF(tbl_LTHM[[#This Row],[BB_Mean]]="", "", tbl_LTHM[[#This Row],[BB_Mean]]-(BB_Width*tbl_LTHM[[#This Row],[BB_Stdev]]))</f>
        <v>7.0552629979279065</v>
      </c>
      <c r="M26" s="46">
        <f>IF(ROW(tbl_LTHM[[#This Row],[Adj Close]])=5, 0, $F26-$F25)</f>
        <v>0.25</v>
      </c>
      <c r="N26" s="46">
        <f>MAX(tbl_LTHM[[#This Row],[Move]],0)</f>
        <v>0.25</v>
      </c>
      <c r="O26" s="46">
        <f>MAX(-tbl_LTHM[[#This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0.16999999999999998</v>
      </c>
      <c r="Q26" s="46">
        <f ca="1">IF(ROW($O26)-5&lt;RSI_Periods, "", AVERAGE(INDIRECT(ADDRESS(ROW($O26)-RSI_Periods +1, MATCH("Downmove", Price_Header,0))): INDIRECT(ADDRESS(ROW($O26),MATCH("Downmove", Price_Header,0)))))</f>
        <v>9.4999999999999946E-2</v>
      </c>
      <c r="R26" s="46">
        <f ca="1">IF(tbl_LTHM[[#This Row],[Avg_Upmove]]="", "", tbl_LTHM[[#This Row],[Avg_Upmove]]/tbl_LTHM[[#This Row],[Avg_Downmove]])</f>
        <v>1.7894736842105272</v>
      </c>
      <c r="S26" s="10">
        <f ca="1">IF(ROW($N26)-4&lt;BB_Periods, "", _xlfn.STDEV.S(INDIRECT(ADDRESS(ROW($F26)-RSI_Periods +1, MATCH("Adj Close", Price_Header,0))): INDIRECT(ADDRESS(ROW($F26),MATCH("Adj Close", Price_Header,0)))))</f>
        <v>0.61165421532176112</v>
      </c>
    </row>
    <row r="27" spans="1:19" x14ac:dyDescent="0.35">
      <c r="A27" s="8">
        <v>44084</v>
      </c>
      <c r="B27" s="10">
        <v>8.68</v>
      </c>
      <c r="C27" s="10">
        <v>8.84</v>
      </c>
      <c r="D27" s="10">
        <v>8.4499999999999993</v>
      </c>
      <c r="E27" s="10">
        <v>8.4600000000000009</v>
      </c>
      <c r="F27" s="10">
        <v>8.4600000000000009</v>
      </c>
      <c r="G27">
        <v>1166500</v>
      </c>
      <c r="H27" s="10">
        <f>IF(tbl_LTHM[[#This Row],[Date]]=$A$5, $F27, EMA_Beta*$H26 + (1-EMA_Beta)*$F27)</f>
        <v>8.2466685989389852</v>
      </c>
      <c r="I27" s="46">
        <f ca="1">IF(tbl_LTHM[[#This Row],[RS]]= "", "", 100-(100/(1+tbl_LTHM[[#This Row],[RS]])))</f>
        <v>65.027322404371603</v>
      </c>
      <c r="J27" s="10">
        <f ca="1">IF(ROW($N27)-4&lt;BB_Periods, "", AVERAGE(INDIRECT(ADDRESS(ROW($F27)-RSI_Periods +1, MATCH("Adj Close", Price_Header,0))): INDIRECT(ADDRESS(ROW($F27),MATCH("Adj Close", Price_Header,0)))))</f>
        <v>8.3571428571428577</v>
      </c>
      <c r="K27" s="10">
        <f ca="1">IF(tbl_LTHM[[#This Row],[BB_Mean]]="", "", tbl_LTHM[[#This Row],[BB_Mean]]+(BB_Width*tbl_LTHM[[#This Row],[BB_Stdev]]))</f>
        <v>9.4618580260418845</v>
      </c>
      <c r="L27" s="10">
        <f ca="1">IF(tbl_LTHM[[#This Row],[BB_Mean]]="", "", tbl_LTHM[[#This Row],[BB_Mean]]-(BB_Width*tbl_LTHM[[#This Row],[BB_Stdev]]))</f>
        <v>7.2524276882438308</v>
      </c>
      <c r="M27" s="46">
        <f>IF(ROW(tbl_LTHM[[#This Row],[Adj Close]])=5, 0, $F27-$F26)</f>
        <v>-0.16999999999999993</v>
      </c>
      <c r="N27" s="46">
        <f>MAX(tbl_LTHM[[#This Row],[Move]],0)</f>
        <v>0</v>
      </c>
      <c r="O27" s="46">
        <f>MAX(-tbl_LTHM[[#This Row],[Move]],0)</f>
        <v>0.16999999999999993</v>
      </c>
      <c r="P27" s="46">
        <f ca="1">IF(ROW($N27)-5&lt;RSI_Periods, "", AVERAGE(INDIRECT(ADDRESS(ROW($N27)-RSI_Periods +1, MATCH("Upmove", Price_Header,0))): INDIRECT(ADDRESS(ROW($N27),MATCH("Upmove", Price_Header,0)))))</f>
        <v>0.16999999999999998</v>
      </c>
      <c r="Q27" s="46">
        <f ca="1">IF(ROW($O27)-5&lt;RSI_Periods, "", AVERAGE(INDIRECT(ADDRESS(ROW($O27)-RSI_Periods +1, MATCH("Downmove", Price_Header,0))): INDIRECT(ADDRESS(ROW($O27),MATCH("Downmove", Price_Header,0)))))</f>
        <v>9.1428571428571387E-2</v>
      </c>
      <c r="R27" s="46">
        <f ca="1">IF(tbl_LTHM[[#This Row],[Avg_Upmove]]="", "", tbl_LTHM[[#This Row],[Avg_Upmove]]/tbl_LTHM[[#This Row],[Avg_Downmove]])</f>
        <v>1.8593750000000007</v>
      </c>
      <c r="S27" s="10">
        <f ca="1">IF(ROW($N27)-4&lt;BB_Periods, "", _xlfn.STDEV.S(INDIRECT(ADDRESS(ROW($F27)-RSI_Periods +1, MATCH("Adj Close", Price_Header,0))): INDIRECT(ADDRESS(ROW($F27),MATCH("Adj Close", Price_Header,0)))))</f>
        <v>0.55235758444951333</v>
      </c>
    </row>
    <row r="28" spans="1:19" x14ac:dyDescent="0.35">
      <c r="A28" s="8">
        <v>44085</v>
      </c>
      <c r="B28" s="10">
        <v>8.57</v>
      </c>
      <c r="C28" s="10">
        <v>8.94</v>
      </c>
      <c r="D28" s="10">
        <v>8.43</v>
      </c>
      <c r="E28" s="10">
        <v>8.69</v>
      </c>
      <c r="F28" s="10">
        <v>8.69</v>
      </c>
      <c r="G28">
        <v>1279300</v>
      </c>
      <c r="H28" s="10">
        <f>IF(tbl_LTHM[[#This Row],[Date]]=$A$5, $F28, EMA_Beta*$H27 + (1-EMA_Beta)*$F28)</f>
        <v>8.2910017390450861</v>
      </c>
      <c r="I28" s="46">
        <f ca="1">IF(tbl_LTHM[[#This Row],[RS]]= "", "", 100-(100/(1+tbl_LTHM[[#This Row],[RS]])))</f>
        <v>68.146214099216721</v>
      </c>
      <c r="J28" s="10">
        <f ca="1">IF(ROW($N28)-4&lt;BB_Periods, "", AVERAGE(INDIRECT(ADDRESS(ROW($F28)-RSI_Periods +1, MATCH("Adj Close", Price_Header,0))): INDIRECT(ADDRESS(ROW($F28),MATCH("Adj Close", Price_Header,0)))))</f>
        <v>8.4564285714285727</v>
      </c>
      <c r="K28" s="10">
        <f ca="1">IF(tbl_LTHM[[#This Row],[BB_Mean]]="", "", tbl_LTHM[[#This Row],[BB_Mean]]+(BB_Width*tbl_LTHM[[#This Row],[BB_Stdev]]))</f>
        <v>9.3881798470168807</v>
      </c>
      <c r="L28" s="10">
        <f ca="1">IF(tbl_LTHM[[#This Row],[BB_Mean]]="", "", tbl_LTHM[[#This Row],[BB_Mean]]-(BB_Width*tbl_LTHM[[#This Row],[BB_Stdev]]))</f>
        <v>7.5246772958402648</v>
      </c>
      <c r="M28" s="46">
        <f>IF(ROW(tbl_LTHM[[#This Row],[Adj Close]])=5, 0, $F28-$F27)</f>
        <v>0.22999999999999865</v>
      </c>
      <c r="N28" s="46">
        <f>MAX(tbl_LTHM[[#This Row],[Move]],0)</f>
        <v>0.22999999999999865</v>
      </c>
      <c r="O28" s="46">
        <f>MAX(-tbl_LTHM[[#This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0.18642857142857133</v>
      </c>
      <c r="Q28" s="46">
        <f ca="1">IF(ROW($O28)-5&lt;RSI_Periods, "", AVERAGE(INDIRECT(ADDRESS(ROW($O28)-RSI_Periods +1, MATCH("Downmove", Price_Header,0))): INDIRECT(ADDRESS(ROW($O28),MATCH("Downmove", Price_Header,0)))))</f>
        <v>8.7142857142857064E-2</v>
      </c>
      <c r="R28" s="46">
        <f ca="1">IF(tbl_LTHM[[#This Row],[Avg_Upmove]]="", "", tbl_LTHM[[#This Row],[Avg_Upmove]]/tbl_LTHM[[#This Row],[Avg_Downmove]])</f>
        <v>2.1393442622950829</v>
      </c>
      <c r="S28" s="10">
        <f ca="1">IF(ROW($N28)-4&lt;BB_Periods, "", _xlfn.STDEV.S(INDIRECT(ADDRESS(ROW($F28)-RSI_Periods +1, MATCH("Adj Close", Price_Header,0))): INDIRECT(ADDRESS(ROW($F28),MATCH("Adj Close", Price_Header,0)))))</f>
        <v>0.4658756377941542</v>
      </c>
    </row>
    <row r="29" spans="1:19" x14ac:dyDescent="0.35">
      <c r="A29" s="8">
        <v>44088</v>
      </c>
      <c r="B29" s="10">
        <v>8.77</v>
      </c>
      <c r="C29" s="10">
        <v>9.17</v>
      </c>
      <c r="D29" s="10">
        <v>8.6300000000000008</v>
      </c>
      <c r="E29" s="10">
        <v>8.99</v>
      </c>
      <c r="F29" s="10">
        <v>8.99</v>
      </c>
      <c r="G29">
        <v>3274000</v>
      </c>
      <c r="H29" s="10">
        <f>IF(tbl_LTHM[[#This Row],[Date]]=$A$5, $F29, EMA_Beta*$H28 + (1-EMA_Beta)*$F29)</f>
        <v>8.360901565140578</v>
      </c>
      <c r="I29" s="46">
        <f ca="1">IF(tbl_LTHM[[#This Row],[RS]]= "", "", 100-(100/(1+tbl_LTHM[[#This Row],[RS]])))</f>
        <v>68.556701030927854</v>
      </c>
      <c r="J29" s="10">
        <f ca="1">IF(ROW($N29)-4&lt;BB_Periods, "", AVERAGE(INDIRECT(ADDRESS(ROW($F29)-RSI_Periods +1, MATCH("Adj Close", Price_Header,0))): INDIRECT(ADDRESS(ROW($F29),MATCH("Adj Close", Price_Header,0)))))</f>
        <v>8.5592857142857124</v>
      </c>
      <c r="K29" s="10">
        <f ca="1">IF(tbl_LTHM[[#This Row],[BB_Mean]]="", "", tbl_LTHM[[#This Row],[BB_Mean]]+(BB_Width*tbl_LTHM[[#This Row],[BB_Stdev]]))</f>
        <v>9.3700769436304903</v>
      </c>
      <c r="L29" s="10">
        <f ca="1">IF(tbl_LTHM[[#This Row],[BB_Mean]]="", "", tbl_LTHM[[#This Row],[BB_Mean]]-(BB_Width*tbl_LTHM[[#This Row],[BB_Stdev]]))</f>
        <v>7.7484944849409336</v>
      </c>
      <c r="M29" s="46">
        <f>IF(ROW(tbl_LTHM[[#This Row],[Adj Close]])=5, 0, $F29-$F28)</f>
        <v>0.30000000000000071</v>
      </c>
      <c r="N29" s="46">
        <f>MAX(tbl_LTHM[[#This Row],[Move]],0)</f>
        <v>0.30000000000000071</v>
      </c>
      <c r="O29" s="46">
        <f>MAX(-tbl_LTHM[[#This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0.18999999999999995</v>
      </c>
      <c r="Q29" s="46">
        <f ca="1">IF(ROW($O29)-5&lt;RSI_Periods, "", AVERAGE(INDIRECT(ADDRESS(ROW($O29)-RSI_Periods +1, MATCH("Downmove", Price_Header,0))): INDIRECT(ADDRESS(ROW($O29),MATCH("Downmove", Price_Header,0)))))</f>
        <v>8.7142857142857064E-2</v>
      </c>
      <c r="R29" s="46">
        <f ca="1">IF(tbl_LTHM[[#This Row],[Avg_Upmove]]="", "", tbl_LTHM[[#This Row],[Avg_Upmove]]/tbl_LTHM[[#This Row],[Avg_Downmove]])</f>
        <v>2.1803278688524603</v>
      </c>
      <c r="S29" s="10">
        <f ca="1">IF(ROW($N29)-4&lt;BB_Periods, "", _xlfn.STDEV.S(INDIRECT(ADDRESS(ROW($F29)-RSI_Periods +1, MATCH("Adj Close", Price_Header,0))): INDIRECT(ADDRESS(ROW($F29),MATCH("Adj Close", Price_Header,0)))))</f>
        <v>0.40539561467238933</v>
      </c>
    </row>
    <row r="30" spans="1:19" x14ac:dyDescent="0.35">
      <c r="A30" s="8">
        <v>44089</v>
      </c>
      <c r="B30" s="10">
        <v>9.1</v>
      </c>
      <c r="C30" s="10">
        <v>9.49</v>
      </c>
      <c r="D30" s="10">
        <v>9.02</v>
      </c>
      <c r="E30" s="10">
        <v>9.36</v>
      </c>
      <c r="F30" s="10">
        <v>9.36</v>
      </c>
      <c r="G30">
        <v>2534000</v>
      </c>
      <c r="H30" s="10">
        <f>IF(tbl_LTHM[[#This Row],[Date]]=$A$5, $F30, EMA_Beta*$H29 + (1-EMA_Beta)*$F30)</f>
        <v>8.4608114086265207</v>
      </c>
      <c r="I30" s="46">
        <f ca="1">IF(tbl_LTHM[[#This Row],[RS]]= "", "", 100-(100/(1+tbl_LTHM[[#This Row],[RS]])))</f>
        <v>70.743405275779381</v>
      </c>
      <c r="J30" s="10">
        <f ca="1">IF(ROW($N30)-4&lt;BB_Periods, "", AVERAGE(INDIRECT(ADDRESS(ROW($F30)-RSI_Periods +1, MATCH("Adj Close", Price_Header,0))): INDIRECT(ADDRESS(ROW($F30),MATCH("Adj Close", Price_Header,0)))))</f>
        <v>8.6828571428571415</v>
      </c>
      <c r="K30" s="10">
        <f ca="1">IF(tbl_LTHM[[#This Row],[BB_Mean]]="", "", tbl_LTHM[[#This Row],[BB_Mean]]+(BB_Width*tbl_LTHM[[#This Row],[BB_Stdev]]))</f>
        <v>9.4061584875018447</v>
      </c>
      <c r="L30" s="10">
        <f ca="1">IF(tbl_LTHM[[#This Row],[BB_Mean]]="", "", tbl_LTHM[[#This Row],[BB_Mean]]-(BB_Width*tbl_LTHM[[#This Row],[BB_Stdev]]))</f>
        <v>7.9595557982124392</v>
      </c>
      <c r="M30" s="46">
        <f>IF(ROW(tbl_LTHM[[#This Row],[Adj Close]])=5, 0, $F30-$F29)</f>
        <v>0.36999999999999922</v>
      </c>
      <c r="N30" s="46">
        <f>MAX(tbl_LTHM[[#This Row],[Move]],0)</f>
        <v>0.36999999999999922</v>
      </c>
      <c r="O30" s="46">
        <f>MAX(-tbl_LTHM[[#This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0.2107142857142856</v>
      </c>
      <c r="Q30" s="46">
        <f ca="1">IF(ROW($O30)-5&lt;RSI_Periods, "", AVERAGE(INDIRECT(ADDRESS(ROW($O30)-RSI_Periods +1, MATCH("Downmove", Price_Header,0))): INDIRECT(ADDRESS(ROW($O30),MATCH("Downmove", Price_Header,0)))))</f>
        <v>8.7142857142857064E-2</v>
      </c>
      <c r="R30" s="46">
        <f ca="1">IF(tbl_LTHM[[#This Row],[Avg_Upmove]]="", "", tbl_LTHM[[#This Row],[Avg_Upmove]]/tbl_LTHM[[#This Row],[Avg_Downmove]])</f>
        <v>2.4180327868852469</v>
      </c>
      <c r="S30" s="10">
        <f ca="1">IF(ROW($N30)-4&lt;BB_Periods, "", _xlfn.STDEV.S(INDIRECT(ADDRESS(ROW($F30)-RSI_Periods +1, MATCH("Adj Close", Price_Header,0))): INDIRECT(ADDRESS(ROW($F30),MATCH("Adj Close", Price_Header,0)))))</f>
        <v>0.36165067232235115</v>
      </c>
    </row>
    <row r="31" spans="1:19" x14ac:dyDescent="0.35">
      <c r="A31" s="8">
        <v>44090</v>
      </c>
      <c r="B31" s="10">
        <v>9.52</v>
      </c>
      <c r="C31" s="10">
        <v>9.76</v>
      </c>
      <c r="D31" s="10">
        <v>8.8800000000000008</v>
      </c>
      <c r="E31" s="10">
        <v>9</v>
      </c>
      <c r="F31" s="10">
        <v>9</v>
      </c>
      <c r="G31">
        <v>2997000</v>
      </c>
      <c r="H31" s="10">
        <f>IF(tbl_LTHM[[#This Row],[Date]]=$A$5, $F31, EMA_Beta*$H30 + (1-EMA_Beta)*$F31)</f>
        <v>8.5147302677638681</v>
      </c>
      <c r="I31" s="46">
        <f ca="1">IF(tbl_LTHM[[#This Row],[RS]]= "", "", 100-(100/(1+tbl_LTHM[[#This Row],[RS]])))</f>
        <v>60.401002506265669</v>
      </c>
      <c r="J31" s="10">
        <f ca="1">IF(ROW($N31)-4&lt;BB_Periods, "", AVERAGE(INDIRECT(ADDRESS(ROW($F31)-RSI_Periods +1, MATCH("Adj Close", Price_Header,0))): INDIRECT(ADDRESS(ROW($F31),MATCH("Adj Close", Price_Header,0)))))</f>
        <v>8.7421428571428557</v>
      </c>
      <c r="K31" s="10">
        <f ca="1">IF(tbl_LTHM[[#This Row],[BB_Mean]]="", "", tbl_LTHM[[#This Row],[BB_Mean]]+(BB_Width*tbl_LTHM[[#This Row],[BB_Stdev]]))</f>
        <v>9.4189306807934869</v>
      </c>
      <c r="L31" s="10">
        <f ca="1">IF(tbl_LTHM[[#This Row],[BB_Mean]]="", "", tbl_LTHM[[#This Row],[BB_Mean]]-(BB_Width*tbl_LTHM[[#This Row],[BB_Stdev]]))</f>
        <v>8.0653550334922244</v>
      </c>
      <c r="M31" s="46">
        <f>IF(ROW(tbl_LTHM[[#This Row],[Adj Close]])=5, 0, $F31-$F30)</f>
        <v>-0.35999999999999943</v>
      </c>
      <c r="N31" s="46">
        <f>MAX(tbl_LTHM[[#This Row],[Move]],0)</f>
        <v>0</v>
      </c>
      <c r="O31" s="46">
        <f>MAX(-tbl_LTHM[[#This Row],[Move]],0)</f>
        <v>0.35999999999999943</v>
      </c>
      <c r="P31" s="46">
        <f ca="1">IF(ROW($N31)-5&lt;RSI_Periods, "", AVERAGE(INDIRECT(ADDRESS(ROW($N31)-RSI_Periods +1, MATCH("Upmove", Price_Header,0))): INDIRECT(ADDRESS(ROW($N31),MATCH("Upmove", Price_Header,0)))))</f>
        <v>0.17214285714285701</v>
      </c>
      <c r="Q31" s="46">
        <f ca="1">IF(ROW($O31)-5&lt;RSI_Periods, "", AVERAGE(INDIRECT(ADDRESS(ROW($O31)-RSI_Periods +1, MATCH("Downmove", Price_Header,0))): INDIRECT(ADDRESS(ROW($O31),MATCH("Downmove", Price_Header,0)))))</f>
        <v>0.11285714285714274</v>
      </c>
      <c r="R31" s="46">
        <f ca="1">IF(tbl_LTHM[[#This Row],[Avg_Upmove]]="", "", tbl_LTHM[[#This Row],[Avg_Upmove]]/tbl_LTHM[[#This Row],[Avg_Downmove]])</f>
        <v>1.5253164556962029</v>
      </c>
      <c r="S31" s="10">
        <f ca="1">IF(ROW($N31)-4&lt;BB_Periods, "", _xlfn.STDEV.S(INDIRECT(ADDRESS(ROW($F31)-RSI_Periods +1, MATCH("Adj Close", Price_Header,0))): INDIRECT(ADDRESS(ROW($F31),MATCH("Adj Close", Price_Header,0)))))</f>
        <v>0.33839391182531547</v>
      </c>
    </row>
    <row r="32" spans="1:19" x14ac:dyDescent="0.35">
      <c r="A32" s="8">
        <v>44091</v>
      </c>
      <c r="B32" s="10">
        <v>9</v>
      </c>
      <c r="C32" s="10">
        <v>9.17</v>
      </c>
      <c r="D32" s="10">
        <v>8.7799999999999994</v>
      </c>
      <c r="E32" s="10">
        <v>8.9700000000000006</v>
      </c>
      <c r="F32" s="10">
        <v>8.9700000000000006</v>
      </c>
      <c r="G32">
        <v>2022700</v>
      </c>
      <c r="H32" s="10">
        <f>IF(tbl_LTHM[[#This Row],[Date]]=$A$5, $F32, EMA_Beta*$H31 + (1-EMA_Beta)*$F32)</f>
        <v>8.5602572409874806</v>
      </c>
      <c r="I32" s="46">
        <f ca="1">IF(tbl_LTHM[[#This Row],[RS]]= "", "", 100-(100/(1+tbl_LTHM[[#This Row],[RS]])))</f>
        <v>59.950248756218919</v>
      </c>
      <c r="J32" s="10">
        <f ca="1">IF(ROW($N32)-4&lt;BB_Periods, "", AVERAGE(INDIRECT(ADDRESS(ROW($F32)-RSI_Periods +1, MATCH("Adj Close", Price_Header,0))): INDIRECT(ADDRESS(ROW($F32),MATCH("Adj Close", Price_Header,0)))))</f>
        <v>8.7992857142857144</v>
      </c>
      <c r="K32" s="10">
        <f ca="1">IF(tbl_LTHM[[#This Row],[BB_Mean]]="", "", tbl_LTHM[[#This Row],[BB_Mean]]+(BB_Width*tbl_LTHM[[#This Row],[BB_Stdev]]))</f>
        <v>9.398642512385619</v>
      </c>
      <c r="L32" s="10">
        <f ca="1">IF(tbl_LTHM[[#This Row],[BB_Mean]]="", "", tbl_LTHM[[#This Row],[BB_Mean]]-(BB_Width*tbl_LTHM[[#This Row],[BB_Stdev]]))</f>
        <v>8.1999289161858098</v>
      </c>
      <c r="M32" s="46">
        <f>IF(ROW(tbl_LTHM[[#This Row],[Adj Close]])=5, 0, $F32-$F31)</f>
        <v>-2.9999999999999361E-2</v>
      </c>
      <c r="N32" s="46">
        <f>MAX(tbl_LTHM[[#This Row],[Move]],0)</f>
        <v>0</v>
      </c>
      <c r="O32" s="46">
        <f>MAX(-tbl_LTHM[[#This Row],[Move]],0)</f>
        <v>2.9999999999999361E-2</v>
      </c>
      <c r="P32" s="46">
        <f ca="1">IF(ROW($N32)-5&lt;RSI_Periods, "", AVERAGE(INDIRECT(ADDRESS(ROW($N32)-RSI_Periods +1, MATCH("Upmove", Price_Header,0))): INDIRECT(ADDRESS(ROW($N32),MATCH("Upmove", Price_Header,0)))))</f>
        <v>0.17214285714285701</v>
      </c>
      <c r="Q32" s="46">
        <f ca="1">IF(ROW($O32)-5&lt;RSI_Periods, "", AVERAGE(INDIRECT(ADDRESS(ROW($O32)-RSI_Periods +1, MATCH("Downmove", Price_Header,0))): INDIRECT(ADDRESS(ROW($O32),MATCH("Downmove", Price_Header,0)))))</f>
        <v>0.11499999999999984</v>
      </c>
      <c r="R32" s="46">
        <f ca="1">IF(tbl_LTHM[[#This Row],[Avg_Upmove]]="", "", tbl_LTHM[[#This Row],[Avg_Upmove]]/tbl_LTHM[[#This Row],[Avg_Downmove]])</f>
        <v>1.4968944099378891</v>
      </c>
      <c r="S32" s="10">
        <f ca="1">IF(ROW($N32)-4&lt;BB_Periods, "", _xlfn.STDEV.S(INDIRECT(ADDRESS(ROW($F32)-RSI_Periods +1, MATCH("Adj Close", Price_Header,0))): INDIRECT(ADDRESS(ROW($F32),MATCH("Adj Close", Price_Header,0)))))</f>
        <v>0.29967839904995269</v>
      </c>
    </row>
    <row r="33" spans="1:19" x14ac:dyDescent="0.35">
      <c r="A33" s="8">
        <v>44092</v>
      </c>
      <c r="B33" s="10">
        <v>8.9499999999999993</v>
      </c>
      <c r="C33" s="10">
        <v>9.36</v>
      </c>
      <c r="D33" s="10">
        <v>8.7899999999999991</v>
      </c>
      <c r="E33" s="10">
        <v>9.0500000000000007</v>
      </c>
      <c r="F33" s="10">
        <v>9.0500000000000007</v>
      </c>
      <c r="G33">
        <v>2022700</v>
      </c>
      <c r="H33" s="10">
        <f>IF(tbl_LTHM[[#This Row],[Date]]=$A$5, $F33, EMA_Beta*$H32 + (1-EMA_Beta)*$F33)</f>
        <v>8.6092315168887321</v>
      </c>
      <c r="I33" s="46">
        <f ca="1">IF(tbl_LTHM[[#This Row],[RS]]= "", "", 100-(100/(1+tbl_LTHM[[#This Row],[RS]])))</f>
        <v>55.524861878453045</v>
      </c>
      <c r="J33" s="10">
        <f ca="1">IF(ROW($N33)-4&lt;BB_Periods, "", AVERAGE(INDIRECT(ADDRESS(ROW($F33)-RSI_Periods +1, MATCH("Adj Close", Price_Header,0))): INDIRECT(ADDRESS(ROW($F33),MATCH("Adj Close", Price_Header,0)))))</f>
        <v>8.8278571428571428</v>
      </c>
      <c r="K33" s="10">
        <f ca="1">IF(tbl_LTHM[[#This Row],[BB_Mean]]="", "", tbl_LTHM[[#This Row],[BB_Mean]]+(BB_Width*tbl_LTHM[[#This Row],[BB_Stdev]]))</f>
        <v>9.4346483791119233</v>
      </c>
      <c r="L33" s="10">
        <f ca="1">IF(tbl_LTHM[[#This Row],[BB_Mean]]="", "", tbl_LTHM[[#This Row],[BB_Mean]]-(BB_Width*tbl_LTHM[[#This Row],[BB_Stdev]]))</f>
        <v>8.2210659066023624</v>
      </c>
      <c r="M33" s="46">
        <f>IF(ROW(tbl_LTHM[[#This Row],[Adj Close]])=5, 0, $F33-$F32)</f>
        <v>8.0000000000000071E-2</v>
      </c>
      <c r="N33" s="46">
        <f>MAX(tbl_LTHM[[#This Row],[Move]],0)</f>
        <v>8.0000000000000071E-2</v>
      </c>
      <c r="O33" s="46">
        <f>MAX(-tbl_LTHM[[#This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0.14357142857142843</v>
      </c>
      <c r="Q33" s="46">
        <f ca="1">IF(ROW($O33)-5&lt;RSI_Periods, "", AVERAGE(INDIRECT(ADDRESS(ROW($O33)-RSI_Periods +1, MATCH("Downmove", Price_Header,0))): INDIRECT(ADDRESS(ROW($O33),MATCH("Downmove", Price_Header,0)))))</f>
        <v>0.11499999999999984</v>
      </c>
      <c r="R33" s="46">
        <f ca="1">IF(tbl_LTHM[[#This Row],[Avg_Upmove]]="", "", tbl_LTHM[[#This Row],[Avg_Upmove]]/tbl_LTHM[[#This Row],[Avg_Downmove]])</f>
        <v>1.2484472049689446</v>
      </c>
      <c r="S33" s="10">
        <f ca="1">IF(ROW($N33)-4&lt;BB_Periods, "", _xlfn.STDEV.S(INDIRECT(ADDRESS(ROW($F33)-RSI_Periods +1, MATCH("Adj Close", Price_Header,0))): INDIRECT(ADDRESS(ROW($F33),MATCH("Adj Close", Price_Header,0)))))</f>
        <v>0.30339561812738985</v>
      </c>
    </row>
    <row r="34" spans="1:19" x14ac:dyDescent="0.35">
      <c r="A34" s="8">
        <v>44095</v>
      </c>
      <c r="B34" s="10">
        <v>8.75</v>
      </c>
      <c r="C34" s="10">
        <v>8.7899999999999991</v>
      </c>
      <c r="D34" s="10">
        <v>8.1199999999999992</v>
      </c>
      <c r="E34" s="10">
        <v>8.3800000000000008</v>
      </c>
      <c r="F34" s="10">
        <v>8.3800000000000008</v>
      </c>
      <c r="G34">
        <v>2172400</v>
      </c>
      <c r="H34" s="10">
        <f>IF(tbl_LTHM[[#This Row],[Date]]=$A$5, $F34, EMA_Beta*$H33 + (1-EMA_Beta)*$F34)</f>
        <v>8.5863083651998586</v>
      </c>
      <c r="I34" s="46">
        <f ca="1">IF(tbl_LTHM[[#This Row],[RS]]= "", "", 100-(100/(1+tbl_LTHM[[#This Row],[RS]])))</f>
        <v>48.786407766990294</v>
      </c>
      <c r="J34" s="10">
        <f ca="1">IF(ROW($N34)-4&lt;BB_Periods, "", AVERAGE(INDIRECT(ADDRESS(ROW($F34)-RSI_Periods +1, MATCH("Adj Close", Price_Header,0))): INDIRECT(ADDRESS(ROW($F34),MATCH("Adj Close", Price_Header,0)))))</f>
        <v>8.8207142857142848</v>
      </c>
      <c r="K34" s="10">
        <f ca="1">IF(tbl_LTHM[[#This Row],[BB_Mean]]="", "", tbl_LTHM[[#This Row],[BB_Mean]]+(BB_Width*tbl_LTHM[[#This Row],[BB_Stdev]]))</f>
        <v>9.447180039494441</v>
      </c>
      <c r="L34" s="10">
        <f ca="1">IF(tbl_LTHM[[#This Row],[BB_Mean]]="", "", tbl_LTHM[[#This Row],[BB_Mean]]-(BB_Width*tbl_LTHM[[#This Row],[BB_Stdev]]))</f>
        <v>8.1942485319341287</v>
      </c>
      <c r="M34" s="46">
        <f>IF(ROW(tbl_LTHM[[#This Row],[Adj Close]])=5, 0, $F34-$F33)</f>
        <v>-0.66999999999999993</v>
      </c>
      <c r="N34" s="46">
        <f>MAX(tbl_LTHM[[#This Row],[Move]],0)</f>
        <v>0</v>
      </c>
      <c r="O34" s="46">
        <f>MAX(-tbl_LTHM[[#This Row],[Move]],0)</f>
        <v>0.66999999999999993</v>
      </c>
      <c r="P34" s="46">
        <f ca="1">IF(ROW($N34)-5&lt;RSI_Periods, "", AVERAGE(INDIRECT(ADDRESS(ROW($N34)-RSI_Periods +1, MATCH("Upmove", Price_Header,0))): INDIRECT(ADDRESS(ROW($N34),MATCH("Upmove", Price_Header,0)))))</f>
        <v>0.14357142857142843</v>
      </c>
      <c r="Q34" s="46">
        <f ca="1">IF(ROW($O34)-5&lt;RSI_Periods, "", AVERAGE(INDIRECT(ADDRESS(ROW($O34)-RSI_Periods +1, MATCH("Downmove", Price_Header,0))): INDIRECT(ADDRESS(ROW($O34),MATCH("Downmove", Price_Header,0)))))</f>
        <v>0.15071428571428555</v>
      </c>
      <c r="R34" s="46">
        <f ca="1">IF(tbl_LTHM[[#This Row],[Avg_Upmove]]="", "", tbl_LTHM[[#This Row],[Avg_Upmove]]/tbl_LTHM[[#This Row],[Avg_Downmove]])</f>
        <v>0.95260663507109011</v>
      </c>
      <c r="S34" s="10">
        <f ca="1">IF(ROW($N34)-4&lt;BB_Periods, "", _xlfn.STDEV.S(INDIRECT(ADDRESS(ROW($F34)-RSI_Periods +1, MATCH("Adj Close", Price_Header,0))): INDIRECT(ADDRESS(ROW($F34),MATCH("Adj Close", Price_Header,0)))))</f>
        <v>0.31323287689007834</v>
      </c>
    </row>
    <row r="35" spans="1:19" x14ac:dyDescent="0.35">
      <c r="A35" s="8">
        <v>44096</v>
      </c>
      <c r="B35" s="10">
        <v>8.42</v>
      </c>
      <c r="C35" s="10">
        <v>8.4499999999999993</v>
      </c>
      <c r="D35" s="10">
        <v>7.95</v>
      </c>
      <c r="E35" s="10">
        <v>8.32</v>
      </c>
      <c r="F35" s="10">
        <v>8.32</v>
      </c>
      <c r="G35">
        <v>2423100</v>
      </c>
      <c r="H35" s="10">
        <f>IF(tbl_LTHM[[#This Row],[Date]]=$A$5, $F35, EMA_Beta*$H34 + (1-EMA_Beta)*$F35)</f>
        <v>8.5596775286798739</v>
      </c>
      <c r="I35" s="46">
        <f ca="1">IF(tbl_LTHM[[#This Row],[RS]]= "", "", 100-(100/(1+tbl_LTHM[[#This Row],[RS]])))</f>
        <v>40.710382513661202</v>
      </c>
      <c r="J35" s="10">
        <f ca="1">IF(ROW($N35)-4&lt;BB_Periods, "", AVERAGE(INDIRECT(ADDRESS(ROW($F35)-RSI_Periods +1, MATCH("Adj Close", Price_Header,0))): INDIRECT(ADDRESS(ROW($F35),MATCH("Adj Close", Price_Header,0)))))</f>
        <v>8.7721428571428568</v>
      </c>
      <c r="K35" s="10">
        <f ca="1">IF(tbl_LTHM[[#This Row],[BB_Mean]]="", "", tbl_LTHM[[#This Row],[BB_Mean]]+(BB_Width*tbl_LTHM[[#This Row],[BB_Stdev]]))</f>
        <v>9.4426273465603607</v>
      </c>
      <c r="L35" s="10">
        <f ca="1">IF(tbl_LTHM[[#This Row],[BB_Mean]]="", "", tbl_LTHM[[#This Row],[BB_Mean]]-(BB_Width*tbl_LTHM[[#This Row],[BB_Stdev]]))</f>
        <v>8.1016583677253529</v>
      </c>
      <c r="M35" s="46">
        <f>IF(ROW(tbl_LTHM[[#This Row],[Adj Close]])=5, 0, $F35-$F34)</f>
        <v>-6.0000000000000497E-2</v>
      </c>
      <c r="N35" s="46">
        <f>MAX(tbl_LTHM[[#This Row],[Move]],0)</f>
        <v>0</v>
      </c>
      <c r="O35" s="46">
        <f>MAX(-tbl_LTHM[[#This Row],[Move]],0)</f>
        <v>6.0000000000000497E-2</v>
      </c>
      <c r="P35" s="46">
        <f ca="1">IF(ROW($N35)-5&lt;RSI_Periods, "", AVERAGE(INDIRECT(ADDRESS(ROW($N35)-RSI_Periods +1, MATCH("Upmove", Price_Header,0))): INDIRECT(ADDRESS(ROW($N35),MATCH("Upmove", Price_Header,0)))))</f>
        <v>0.10642857142857132</v>
      </c>
      <c r="Q35" s="46">
        <f ca="1">IF(ROW($O35)-5&lt;RSI_Periods, "", AVERAGE(INDIRECT(ADDRESS(ROW($O35)-RSI_Periods +1, MATCH("Downmove", Price_Header,0))): INDIRECT(ADDRESS(ROW($O35),MATCH("Downmove", Price_Header,0)))))</f>
        <v>0.15499999999999986</v>
      </c>
      <c r="R35" s="46">
        <f ca="1">IF(tbl_LTHM[[#This Row],[Avg_Upmove]]="", "", tbl_LTHM[[#This Row],[Avg_Upmove]]/tbl_LTHM[[#This Row],[Avg_Downmove]])</f>
        <v>0.68663594470046074</v>
      </c>
      <c r="S35" s="10">
        <f ca="1">IF(ROW($N35)-4&lt;BB_Periods, "", _xlfn.STDEV.S(INDIRECT(ADDRESS(ROW($F35)-RSI_Periods +1, MATCH("Adj Close", Price_Header,0))): INDIRECT(ADDRESS(ROW($F35),MATCH("Adj Close", Price_Header,0)))))</f>
        <v>0.33524224470875158</v>
      </c>
    </row>
    <row r="36" spans="1:19" x14ac:dyDescent="0.35">
      <c r="A36" s="8">
        <v>44097</v>
      </c>
      <c r="B36" s="10">
        <v>7.7</v>
      </c>
      <c r="C36" s="10">
        <v>8.0399999999999991</v>
      </c>
      <c r="D36" s="10">
        <v>7.57</v>
      </c>
      <c r="E36" s="10">
        <v>7.57</v>
      </c>
      <c r="F36" s="10">
        <v>7.57</v>
      </c>
      <c r="G36">
        <v>4666900</v>
      </c>
      <c r="H36" s="10">
        <f>IF(tbl_LTHM[[#This Row],[Date]]=$A$5, $F36, EMA_Beta*$H35 + (1-EMA_Beta)*$F36)</f>
        <v>8.4607097758118872</v>
      </c>
      <c r="I36" s="46">
        <f ca="1">IF(tbl_LTHM[[#This Row],[RS]]= "", "", 100-(100/(1+tbl_LTHM[[#This Row],[RS]])))</f>
        <v>29.638554216867462</v>
      </c>
      <c r="J36" s="10">
        <f ca="1">IF(ROW($N36)-4&lt;BB_Periods, "", AVERAGE(INDIRECT(ADDRESS(ROW($F36)-RSI_Periods +1, MATCH("Adj Close", Price_Header,0))): INDIRECT(ADDRESS(ROW($F36),MATCH("Adj Close", Price_Header,0)))))</f>
        <v>8.6514285714285712</v>
      </c>
      <c r="K36" s="10">
        <f ca="1">IF(tbl_LTHM[[#This Row],[BB_Mean]]="", "", tbl_LTHM[[#This Row],[BB_Mean]]+(BB_Width*tbl_LTHM[[#This Row],[BB_Stdev]]))</f>
        <v>9.5221791633931083</v>
      </c>
      <c r="L36" s="10">
        <f ca="1">IF(tbl_LTHM[[#This Row],[BB_Mean]]="", "", tbl_LTHM[[#This Row],[BB_Mean]]-(BB_Width*tbl_LTHM[[#This Row],[BB_Stdev]]))</f>
        <v>7.7806779794640333</v>
      </c>
      <c r="M36" s="46">
        <f>IF(ROW(tbl_LTHM[[#This Row],[Adj Close]])=5, 0, $F36-$F35)</f>
        <v>-0.75</v>
      </c>
      <c r="N36" s="46">
        <f>MAX(tbl_LTHM[[#This Row],[Move]],0)</f>
        <v>0</v>
      </c>
      <c r="O36" s="46">
        <f>MAX(-tbl_LTHM[[#This Row],[Move]],0)</f>
        <v>0.75</v>
      </c>
      <c r="P36" s="46">
        <f ca="1">IF(ROW($N36)-5&lt;RSI_Periods, "", AVERAGE(INDIRECT(ADDRESS(ROW($N36)-RSI_Periods +1, MATCH("Upmove", Price_Header,0))): INDIRECT(ADDRESS(ROW($N36),MATCH("Upmove", Price_Header,0)))))</f>
        <v>8.7857142857142759E-2</v>
      </c>
      <c r="Q36" s="46">
        <f ca="1">IF(ROW($O36)-5&lt;RSI_Periods, "", AVERAGE(INDIRECT(ADDRESS(ROW($O36)-RSI_Periods +1, MATCH("Downmove", Price_Header,0))): INDIRECT(ADDRESS(ROW($O36),MATCH("Downmove", Price_Header,0)))))</f>
        <v>0.20857142857142844</v>
      </c>
      <c r="R36" s="46">
        <f ca="1">IF(tbl_LTHM[[#This Row],[Avg_Upmove]]="", "", tbl_LTHM[[#This Row],[Avg_Upmove]]/tbl_LTHM[[#This Row],[Avg_Downmove]])</f>
        <v>0.42123287671232856</v>
      </c>
      <c r="S36" s="10">
        <f ca="1">IF(ROW($N36)-4&lt;BB_Periods, "", _xlfn.STDEV.S(INDIRECT(ADDRESS(ROW($F36)-RSI_Periods +1, MATCH("Adj Close", Price_Header,0))): INDIRECT(ADDRESS(ROW($F36),MATCH("Adj Close", Price_Header,0)))))</f>
        <v>0.43537529598226882</v>
      </c>
    </row>
    <row r="37" spans="1:19" x14ac:dyDescent="0.35">
      <c r="A37" s="8">
        <v>44098</v>
      </c>
      <c r="B37" s="10">
        <v>7.51</v>
      </c>
      <c r="C37" s="10">
        <v>7.82</v>
      </c>
      <c r="D37" s="10">
        <v>7.39</v>
      </c>
      <c r="E37" s="10">
        <v>7.7</v>
      </c>
      <c r="F37" s="10">
        <v>7.7</v>
      </c>
      <c r="G37">
        <v>1882400</v>
      </c>
      <c r="H37" s="10">
        <f>IF(tbl_LTHM[[#This Row],[Date]]=$A$5, $F37, EMA_Beta*$H36 + (1-EMA_Beta)*$F37)</f>
        <v>8.3846387982306982</v>
      </c>
      <c r="I37" s="46">
        <f ca="1">IF(tbl_LTHM[[#This Row],[RS]]= "", "", 100-(100/(1+tbl_LTHM[[#This Row],[RS]])))</f>
        <v>36.856368563685628</v>
      </c>
      <c r="J37" s="10">
        <f ca="1">IF(ROW($N37)-4&lt;BB_Periods, "", AVERAGE(INDIRECT(ADDRESS(ROW($F37)-RSI_Periods +1, MATCH("Adj Close", Price_Header,0))): INDIRECT(ADDRESS(ROW($F37),MATCH("Adj Close", Price_Header,0)))))</f>
        <v>8.5821428571428573</v>
      </c>
      <c r="K37" s="10">
        <f ca="1">IF(tbl_LTHM[[#This Row],[BB_Mean]]="", "", tbl_LTHM[[#This Row],[BB_Mean]]+(BB_Width*tbl_LTHM[[#This Row],[BB_Stdev]]))</f>
        <v>9.5900860353773503</v>
      </c>
      <c r="L37" s="10">
        <f ca="1">IF(tbl_LTHM[[#This Row],[BB_Mean]]="", "", tbl_LTHM[[#This Row],[BB_Mean]]-(BB_Width*tbl_LTHM[[#This Row],[BB_Stdev]]))</f>
        <v>7.5741996789083643</v>
      </c>
      <c r="M37" s="46">
        <f>IF(ROW(tbl_LTHM[[#This Row],[Adj Close]])=5, 0, $F37-$F36)</f>
        <v>0.12999999999999989</v>
      </c>
      <c r="N37" s="46">
        <f>MAX(tbl_LTHM[[#This Row],[Move]],0)</f>
        <v>0.12999999999999989</v>
      </c>
      <c r="O37" s="46">
        <f>MAX(-tbl_LTHM[[#This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9.7142857142857045E-2</v>
      </c>
      <c r="Q37" s="46">
        <f ca="1">IF(ROW($O37)-5&lt;RSI_Periods, "", AVERAGE(INDIRECT(ADDRESS(ROW($O37)-RSI_Periods +1, MATCH("Downmove", Price_Header,0))): INDIRECT(ADDRESS(ROW($O37),MATCH("Downmove", Price_Header,0)))))</f>
        <v>0.16642857142857131</v>
      </c>
      <c r="R37" s="46">
        <f ca="1">IF(tbl_LTHM[[#This Row],[Avg_Upmove]]="", "", tbl_LTHM[[#This Row],[Avg_Upmove]]/tbl_LTHM[[#This Row],[Avg_Downmove]])</f>
        <v>0.58369098712446332</v>
      </c>
      <c r="S37" s="10">
        <f ca="1">IF(ROW($N37)-4&lt;BB_Periods, "", _xlfn.STDEV.S(INDIRECT(ADDRESS(ROW($F37)-RSI_Periods +1, MATCH("Adj Close", Price_Header,0))): INDIRECT(ADDRESS(ROW($F37),MATCH("Adj Close", Price_Header,0)))))</f>
        <v>0.50397158911724627</v>
      </c>
    </row>
    <row r="38" spans="1:19" x14ac:dyDescent="0.35">
      <c r="A38" s="8">
        <v>44099</v>
      </c>
      <c r="B38" s="10">
        <v>7.55</v>
      </c>
      <c r="C38" s="10">
        <v>7.95</v>
      </c>
      <c r="D38" s="10">
        <v>7.53</v>
      </c>
      <c r="E38" s="10">
        <v>7.88</v>
      </c>
      <c r="F38" s="10">
        <v>7.88</v>
      </c>
      <c r="G38">
        <v>1294100</v>
      </c>
      <c r="H38" s="10">
        <f>IF(tbl_LTHM[[#This Row],[Date]]=$A$5, $F38, EMA_Beta*$H37 + (1-EMA_Beta)*$F38)</f>
        <v>8.3341749184076281</v>
      </c>
      <c r="I38" s="46">
        <f ca="1">IF(tbl_LTHM[[#This Row],[RS]]= "", "", 100-(100/(1+tbl_LTHM[[#This Row],[RS]])))</f>
        <v>39.999999999999986</v>
      </c>
      <c r="J38" s="10">
        <f ca="1">IF(ROW($N38)-4&lt;BB_Periods, "", AVERAGE(INDIRECT(ADDRESS(ROW($F38)-RSI_Periods +1, MATCH("Adj Close", Price_Header,0))): INDIRECT(ADDRESS(ROW($F38),MATCH("Adj Close", Price_Header,0)))))</f>
        <v>8.5271428571428558</v>
      </c>
      <c r="K38" s="10">
        <f ca="1">IF(tbl_LTHM[[#This Row],[BB_Mean]]="", "", tbl_LTHM[[#This Row],[BB_Mean]]+(BB_Width*tbl_LTHM[[#This Row],[BB_Stdev]]))</f>
        <v>9.6010123112179802</v>
      </c>
      <c r="L38" s="10">
        <f ca="1">IF(tbl_LTHM[[#This Row],[BB_Mean]]="", "", tbl_LTHM[[#This Row],[BB_Mean]]-(BB_Width*tbl_LTHM[[#This Row],[BB_Stdev]]))</f>
        <v>7.4532734030677323</v>
      </c>
      <c r="M38" s="46">
        <f>IF(ROW(tbl_LTHM[[#This Row],[Adj Close]])=5, 0, $F38-$F37)</f>
        <v>0.17999999999999972</v>
      </c>
      <c r="N38" s="46">
        <f>MAX(tbl_LTHM[[#This Row],[Move]],0)</f>
        <v>0.17999999999999972</v>
      </c>
      <c r="O38" s="46">
        <f>MAX(-tbl_LTHM[[#This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0.10999999999999988</v>
      </c>
      <c r="Q38" s="46">
        <f ca="1">IF(ROW($O38)-5&lt;RSI_Periods, "", AVERAGE(INDIRECT(ADDRESS(ROW($O38)-RSI_Periods +1, MATCH("Downmove", Price_Header,0))): INDIRECT(ADDRESS(ROW($O38),MATCH("Downmove", Price_Header,0)))))</f>
        <v>0.1649999999999999</v>
      </c>
      <c r="R38" s="46">
        <f ca="1">IF(tbl_LTHM[[#This Row],[Avg_Upmove]]="", "", tbl_LTHM[[#This Row],[Avg_Upmove]]/tbl_LTHM[[#This Row],[Avg_Downmove]])</f>
        <v>0.6666666666666663</v>
      </c>
      <c r="S38" s="10">
        <f ca="1">IF(ROW($N38)-4&lt;BB_Periods, "", _xlfn.STDEV.S(INDIRECT(ADDRESS(ROW($F38)-RSI_Periods +1, MATCH("Adj Close", Price_Header,0))): INDIRECT(ADDRESS(ROW($F38),MATCH("Adj Close", Price_Header,0)))))</f>
        <v>0.53693472703756184</v>
      </c>
    </row>
    <row r="39" spans="1:19" x14ac:dyDescent="0.35">
      <c r="A39" s="8">
        <v>44102</v>
      </c>
      <c r="B39" s="10">
        <v>8.3800000000000008</v>
      </c>
      <c r="C39" s="10">
        <v>8.75</v>
      </c>
      <c r="D39" s="10">
        <v>8.2200000000000006</v>
      </c>
      <c r="E39" s="10">
        <v>8.42</v>
      </c>
      <c r="F39" s="10">
        <v>8.42</v>
      </c>
      <c r="G39">
        <v>2809500</v>
      </c>
      <c r="H39" s="10">
        <f>IF(tbl_LTHM[[#This Row],[Date]]=$A$5, $F39, EMA_Beta*$H38 + (1-EMA_Beta)*$F39)</f>
        <v>8.342757426566866</v>
      </c>
      <c r="I39" s="46">
        <f ca="1">IF(tbl_LTHM[[#This Row],[RS]]= "", "", 100-(100/(1+tbl_LTHM[[#This Row],[RS]])))</f>
        <v>50.485436893203868</v>
      </c>
      <c r="J39" s="10">
        <f ca="1">IF(ROW($N39)-4&lt;BB_Periods, "", AVERAGE(INDIRECT(ADDRESS(ROW($F39)-RSI_Periods +1, MATCH("Adj Close", Price_Header,0))): INDIRECT(ADDRESS(ROW($F39),MATCH("Adj Close", Price_Header,0)))))</f>
        <v>8.5299999999999994</v>
      </c>
      <c r="K39" s="10">
        <f ca="1">IF(tbl_LTHM[[#This Row],[BB_Mean]]="", "", tbl_LTHM[[#This Row],[BB_Mean]]+(BB_Width*tbl_LTHM[[#This Row],[BB_Stdev]]))</f>
        <v>9.6023948756082191</v>
      </c>
      <c r="L39" s="10">
        <f ca="1">IF(tbl_LTHM[[#This Row],[BB_Mean]]="", "", tbl_LTHM[[#This Row],[BB_Mean]]-(BB_Width*tbl_LTHM[[#This Row],[BB_Stdev]]))</f>
        <v>7.4576051243917796</v>
      </c>
      <c r="M39" s="46">
        <f>IF(ROW(tbl_LTHM[[#This Row],[Adj Close]])=5, 0, $F39-$F38)</f>
        <v>0.54</v>
      </c>
      <c r="N39" s="46">
        <f>MAX(tbl_LTHM[[#This Row],[Move]],0)</f>
        <v>0.54</v>
      </c>
      <c r="O39" s="46">
        <f>MAX(-tbl_LTHM[[#This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0.14857142857142844</v>
      </c>
      <c r="Q39" s="46">
        <f ca="1">IF(ROW($O39)-5&lt;RSI_Periods, "", AVERAGE(INDIRECT(ADDRESS(ROW($O39)-RSI_Periods +1, MATCH("Downmove", Price_Header,0))): INDIRECT(ADDRESS(ROW($O39),MATCH("Downmove", Price_Header,0)))))</f>
        <v>0.14571428571428566</v>
      </c>
      <c r="R39" s="46">
        <f ca="1">IF(tbl_LTHM[[#This Row],[Avg_Upmove]]="", "", tbl_LTHM[[#This Row],[Avg_Upmove]]/tbl_LTHM[[#This Row],[Avg_Downmove]])</f>
        <v>1.0196078431372544</v>
      </c>
      <c r="S39" s="10">
        <f ca="1">IF(ROW($N39)-4&lt;BB_Periods, "", _xlfn.STDEV.S(INDIRECT(ADDRESS(ROW($F39)-RSI_Periods +1, MATCH("Adj Close", Price_Header,0))): INDIRECT(ADDRESS(ROW($F39),MATCH("Adj Close", Price_Header,0)))))</f>
        <v>0.53619743780410989</v>
      </c>
    </row>
    <row r="40" spans="1:19" x14ac:dyDescent="0.35">
      <c r="A40" s="8">
        <v>44103</v>
      </c>
      <c r="B40" s="10">
        <v>8.5</v>
      </c>
      <c r="C40" s="10">
        <v>9.18</v>
      </c>
      <c r="D40" s="10">
        <v>8.4</v>
      </c>
      <c r="E40" s="10">
        <v>9.09</v>
      </c>
      <c r="F40" s="10">
        <v>9.09</v>
      </c>
      <c r="G40">
        <v>3410300</v>
      </c>
      <c r="H40" s="10">
        <f>IF(tbl_LTHM[[#This Row],[Date]]=$A$5, $F40, EMA_Beta*$H39 + (1-EMA_Beta)*$F40)</f>
        <v>8.4174816839101787</v>
      </c>
      <c r="I40" s="46">
        <f ca="1">IF(tbl_LTHM[[#This Row],[RS]]= "", "", 100-(100/(1+tbl_LTHM[[#This Row],[RS]])))</f>
        <v>55.066079295154175</v>
      </c>
      <c r="J40" s="10">
        <f ca="1">IF(ROW($N40)-4&lt;BB_Periods, "", AVERAGE(INDIRECT(ADDRESS(ROW($F40)-RSI_Periods +1, MATCH("Adj Close", Price_Header,0))): INDIRECT(ADDRESS(ROW($F40),MATCH("Adj Close", Price_Header,0)))))</f>
        <v>8.5628571428571423</v>
      </c>
      <c r="K40" s="10">
        <f ca="1">IF(tbl_LTHM[[#This Row],[BB_Mean]]="", "", tbl_LTHM[[#This Row],[BB_Mean]]+(BB_Width*tbl_LTHM[[#This Row],[BB_Stdev]]))</f>
        <v>9.6758690944531729</v>
      </c>
      <c r="L40" s="10">
        <f ca="1">IF(tbl_LTHM[[#This Row],[BB_Mean]]="", "", tbl_LTHM[[#This Row],[BB_Mean]]-(BB_Width*tbl_LTHM[[#This Row],[BB_Stdev]]))</f>
        <v>7.4498451912611117</v>
      </c>
      <c r="M40" s="46">
        <f>IF(ROW(tbl_LTHM[[#This Row],[Adj Close]])=5, 0, $F40-$F39)</f>
        <v>0.66999999999999993</v>
      </c>
      <c r="N40" s="46">
        <f>MAX(tbl_LTHM[[#This Row],[Move]],0)</f>
        <v>0.66999999999999993</v>
      </c>
      <c r="O40" s="46">
        <f>MAX(-tbl_LTHM[[#This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0.17857142857142844</v>
      </c>
      <c r="Q40" s="46">
        <f ca="1">IF(ROW($O40)-5&lt;RSI_Periods, "", AVERAGE(INDIRECT(ADDRESS(ROW($O40)-RSI_Periods +1, MATCH("Downmove", Price_Header,0))): INDIRECT(ADDRESS(ROW($O40),MATCH("Downmove", Price_Header,0)))))</f>
        <v>0.14571428571428566</v>
      </c>
      <c r="R40" s="46">
        <f ca="1">IF(tbl_LTHM[[#This Row],[Avg_Upmove]]="", "", tbl_LTHM[[#This Row],[Avg_Upmove]]/tbl_LTHM[[#This Row],[Avg_Downmove]])</f>
        <v>1.225490196078431</v>
      </c>
      <c r="S40" s="10">
        <f ca="1">IF(ROW($N40)-4&lt;BB_Periods, "", _xlfn.STDEV.S(INDIRECT(ADDRESS(ROW($F40)-RSI_Periods +1, MATCH("Adj Close", Price_Header,0))): INDIRECT(ADDRESS(ROW($F40),MATCH("Adj Close", Price_Header,0)))))</f>
        <v>0.5565059757980152</v>
      </c>
    </row>
    <row r="41" spans="1:19" x14ac:dyDescent="0.35">
      <c r="A41" s="8">
        <v>44104</v>
      </c>
      <c r="B41" s="10">
        <v>9.0500000000000007</v>
      </c>
      <c r="C41" s="10">
        <v>9.4499999999999993</v>
      </c>
      <c r="D41" s="10">
        <v>8.94</v>
      </c>
      <c r="E41" s="10">
        <v>8.9700000000000006</v>
      </c>
      <c r="F41" s="10">
        <v>8.9700000000000006</v>
      </c>
      <c r="G41">
        <v>3846300</v>
      </c>
      <c r="H41" s="10">
        <f>IF(tbl_LTHM[[#This Row],[Date]]=$A$5, $F41, EMA_Beta*$H40 + (1-EMA_Beta)*$F41)</f>
        <v>8.4727335155191614</v>
      </c>
      <c r="I41" s="46">
        <f ca="1">IF(tbl_LTHM[[#This Row],[RS]]= "", "", 100-(100/(1+tbl_LTHM[[#This Row],[RS]])))</f>
        <v>55.679287305122493</v>
      </c>
      <c r="J41" s="10">
        <f ca="1">IF(ROW($N41)-4&lt;BB_Periods, "", AVERAGE(INDIRECT(ADDRESS(ROW($F41)-RSI_Periods +1, MATCH("Adj Close", Price_Header,0))): INDIRECT(ADDRESS(ROW($F41),MATCH("Adj Close", Price_Header,0)))))</f>
        <v>8.5992857142857151</v>
      </c>
      <c r="K41" s="10">
        <f ca="1">IF(tbl_LTHM[[#This Row],[BB_Mean]]="", "", tbl_LTHM[[#This Row],[BB_Mean]]+(BB_Width*tbl_LTHM[[#This Row],[BB_Stdev]]))</f>
        <v>9.7310226852416744</v>
      </c>
      <c r="L41" s="10">
        <f ca="1">IF(tbl_LTHM[[#This Row],[BB_Mean]]="", "", tbl_LTHM[[#This Row],[BB_Mean]]-(BB_Width*tbl_LTHM[[#This Row],[BB_Stdev]]))</f>
        <v>7.4675487433297549</v>
      </c>
      <c r="M41" s="46">
        <f>IF(ROW(tbl_LTHM[[#This Row],[Adj Close]])=5, 0, $F41-$F40)</f>
        <v>-0.11999999999999922</v>
      </c>
      <c r="N41" s="46">
        <f>MAX(tbl_LTHM[[#This Row],[Move]],0)</f>
        <v>0</v>
      </c>
      <c r="O41" s="46">
        <f>MAX(-tbl_LTHM[[#This Row],[Move]],0)</f>
        <v>0.11999999999999922</v>
      </c>
      <c r="P41" s="46">
        <f ca="1">IF(ROW($N41)-5&lt;RSI_Periods, "", AVERAGE(INDIRECT(ADDRESS(ROW($N41)-RSI_Periods +1, MATCH("Upmove", Price_Header,0))): INDIRECT(ADDRESS(ROW($N41),MATCH("Upmove", Price_Header,0)))))</f>
        <v>0.17857142857142844</v>
      </c>
      <c r="Q41" s="46">
        <f ca="1">IF(ROW($O41)-5&lt;RSI_Periods, "", AVERAGE(INDIRECT(ADDRESS(ROW($O41)-RSI_Periods +1, MATCH("Downmove", Price_Header,0))): INDIRECT(ADDRESS(ROW($O41),MATCH("Downmove", Price_Header,0)))))</f>
        <v>0.14214285714285704</v>
      </c>
      <c r="R41" s="46">
        <f ca="1">IF(tbl_LTHM[[#This Row],[Avg_Upmove]]="", "", tbl_LTHM[[#This Row],[Avg_Upmove]]/tbl_LTHM[[#This Row],[Avg_Downmove]])</f>
        <v>1.2562814070351758</v>
      </c>
      <c r="S41" s="10">
        <f ca="1">IF(ROW($N41)-4&lt;BB_Periods, "", _xlfn.STDEV.S(INDIRECT(ADDRESS(ROW($F41)-RSI_Periods +1, MATCH("Adj Close", Price_Header,0))): INDIRECT(ADDRESS(ROW($F41),MATCH("Adj Close", Price_Header,0)))))</f>
        <v>0.56586848547797997</v>
      </c>
    </row>
    <row r="42" spans="1:19" x14ac:dyDescent="0.35">
      <c r="A42" s="8">
        <v>44105</v>
      </c>
      <c r="B42" s="10">
        <v>9.25</v>
      </c>
      <c r="C42" s="10">
        <v>9.39</v>
      </c>
      <c r="D42" s="10">
        <v>8.94</v>
      </c>
      <c r="E42" s="10">
        <v>9.0299999999999994</v>
      </c>
      <c r="F42" s="10">
        <v>9.0299999999999994</v>
      </c>
      <c r="G42">
        <v>2656200</v>
      </c>
      <c r="H42" s="10">
        <f>IF(tbl_LTHM[[#This Row],[Date]]=$A$5, $F42, EMA_Beta*$H41 + (1-EMA_Beta)*$F42)</f>
        <v>8.5284601639672459</v>
      </c>
      <c r="I42" s="46">
        <f ca="1">IF(tbl_LTHM[[#This Row],[RS]]= "", "", 100-(100/(1+tbl_LTHM[[#This Row],[RS]])))</f>
        <v>53.935185185185183</v>
      </c>
      <c r="J42" s="10">
        <f ca="1">IF(ROW($N42)-4&lt;BB_Periods, "", AVERAGE(INDIRECT(ADDRESS(ROW($F42)-RSI_Periods +1, MATCH("Adj Close", Price_Header,0))): INDIRECT(ADDRESS(ROW($F42),MATCH("Adj Close", Price_Header,0)))))</f>
        <v>8.6235714285714291</v>
      </c>
      <c r="K42" s="10">
        <f ca="1">IF(tbl_LTHM[[#This Row],[BB_Mean]]="", "", tbl_LTHM[[#This Row],[BB_Mean]]+(BB_Width*tbl_LTHM[[#This Row],[BB_Stdev]]))</f>
        <v>9.7780571853641938</v>
      </c>
      <c r="L42" s="10">
        <f ca="1">IF(tbl_LTHM[[#This Row],[BB_Mean]]="", "", tbl_LTHM[[#This Row],[BB_Mean]]-(BB_Width*tbl_LTHM[[#This Row],[BB_Stdev]]))</f>
        <v>7.4690856717786644</v>
      </c>
      <c r="M42" s="46">
        <f>IF(ROW(tbl_LTHM[[#This Row],[Adj Close]])=5, 0, $F42-$F41)</f>
        <v>5.9999999999998721E-2</v>
      </c>
      <c r="N42" s="46">
        <f>MAX(tbl_LTHM[[#This Row],[Move]],0)</f>
        <v>5.9999999999998721E-2</v>
      </c>
      <c r="O42" s="46">
        <f>MAX(-tbl_LTHM[[#This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0.16642857142857131</v>
      </c>
      <c r="Q42" s="46">
        <f ca="1">IF(ROW($O42)-5&lt;RSI_Periods, "", AVERAGE(INDIRECT(ADDRESS(ROW($O42)-RSI_Periods +1, MATCH("Downmove", Price_Header,0))): INDIRECT(ADDRESS(ROW($O42),MATCH("Downmove", Price_Header,0)))))</f>
        <v>0.14214285714285704</v>
      </c>
      <c r="R42" s="46">
        <f ca="1">IF(tbl_LTHM[[#This Row],[Avg_Upmove]]="", "", tbl_LTHM[[#This Row],[Avg_Upmove]]/tbl_LTHM[[#This Row],[Avg_Downmove]])</f>
        <v>1.170854271356784</v>
      </c>
      <c r="S42" s="10">
        <f ca="1">IF(ROW($N42)-4&lt;BB_Periods, "", _xlfn.STDEV.S(INDIRECT(ADDRESS(ROW($F42)-RSI_Periods +1, MATCH("Adj Close", Price_Header,0))): INDIRECT(ADDRESS(ROW($F42),MATCH("Adj Close", Price_Header,0)))))</f>
        <v>0.57724287839638222</v>
      </c>
    </row>
    <row r="43" spans="1:19" x14ac:dyDescent="0.35">
      <c r="A43" s="8">
        <v>44106</v>
      </c>
      <c r="B43" s="10">
        <v>8.6199999999999992</v>
      </c>
      <c r="C43" s="10">
        <v>9.75</v>
      </c>
      <c r="D43" s="10">
        <v>8.52</v>
      </c>
      <c r="E43" s="10">
        <v>9.56</v>
      </c>
      <c r="F43" s="10">
        <v>9.56</v>
      </c>
      <c r="G43">
        <v>4410300</v>
      </c>
      <c r="H43" s="10">
        <f>IF(tbl_LTHM[[#This Row],[Date]]=$A$5, $F43, EMA_Beta*$H42 + (1-EMA_Beta)*$F43)</f>
        <v>8.6316141475705219</v>
      </c>
      <c r="I43" s="46">
        <f ca="1">IF(tbl_LTHM[[#This Row],[RS]]= "", "", 100-(100/(1+tbl_LTHM[[#This Row],[RS]])))</f>
        <v>56.26373626373627</v>
      </c>
      <c r="J43" s="10">
        <f ca="1">IF(ROW($N43)-4&lt;BB_Periods, "", AVERAGE(INDIRECT(ADDRESS(ROW($F43)-RSI_Periods +1, MATCH("Adj Close", Price_Header,0))): INDIRECT(ADDRESS(ROW($F43),MATCH("Adj Close", Price_Header,0)))))</f>
        <v>8.6642857142857146</v>
      </c>
      <c r="K43" s="10">
        <f ca="1">IF(tbl_LTHM[[#This Row],[BB_Mean]]="", "", tbl_LTHM[[#This Row],[BB_Mean]]+(BB_Width*tbl_LTHM[[#This Row],[BB_Stdev]]))</f>
        <v>9.9109604121110149</v>
      </c>
      <c r="L43" s="10">
        <f ca="1">IF(tbl_LTHM[[#This Row],[BB_Mean]]="", "", tbl_LTHM[[#This Row],[BB_Mean]]-(BB_Width*tbl_LTHM[[#This Row],[BB_Stdev]]))</f>
        <v>7.4176110164604152</v>
      </c>
      <c r="M43" s="46">
        <f>IF(ROW(tbl_LTHM[[#This Row],[Adj Close]])=5, 0, $F43-$F42)</f>
        <v>0.53000000000000114</v>
      </c>
      <c r="N43" s="46">
        <f>MAX(tbl_LTHM[[#This Row],[Move]],0)</f>
        <v>0.53000000000000114</v>
      </c>
      <c r="O43" s="46">
        <f>MAX(-tbl_LTHM[[#This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0.18285714285714277</v>
      </c>
      <c r="Q43" s="46">
        <f ca="1">IF(ROW($O43)-5&lt;RSI_Periods, "", AVERAGE(INDIRECT(ADDRESS(ROW($O43)-RSI_Periods +1, MATCH("Downmove", Price_Header,0))): INDIRECT(ADDRESS(ROW($O43),MATCH("Downmove", Price_Header,0)))))</f>
        <v>0.14214285714285704</v>
      </c>
      <c r="R43" s="46">
        <f ca="1">IF(tbl_LTHM[[#This Row],[Avg_Upmove]]="", "", tbl_LTHM[[#This Row],[Avg_Upmove]]/tbl_LTHM[[#This Row],[Avg_Downmove]])</f>
        <v>1.2864321608040203</v>
      </c>
      <c r="S43" s="10">
        <f ca="1">IF(ROW($N43)-4&lt;BB_Periods, "", _xlfn.STDEV.S(INDIRECT(ADDRESS(ROW($F43)-RSI_Periods +1, MATCH("Adj Close", Price_Header,0))): INDIRECT(ADDRESS(ROW($F43),MATCH("Adj Close", Price_Header,0)))))</f>
        <v>0.6233373489126498</v>
      </c>
    </row>
    <row r="44" spans="1:19" x14ac:dyDescent="0.35">
      <c r="A44" s="8">
        <v>44109</v>
      </c>
      <c r="B44" s="10">
        <v>10.41</v>
      </c>
      <c r="C44" s="10">
        <v>11.35</v>
      </c>
      <c r="D44" s="10">
        <v>10.37</v>
      </c>
      <c r="E44" s="10">
        <v>11.29</v>
      </c>
      <c r="F44" s="10">
        <v>11.29</v>
      </c>
      <c r="G44">
        <v>14363200</v>
      </c>
      <c r="H44" s="10">
        <f>IF(tbl_LTHM[[#This Row],[Date]]=$A$5, $F44, EMA_Beta*$H43 + (1-EMA_Beta)*$F44)</f>
        <v>8.8974527328134698</v>
      </c>
      <c r="I44" s="46">
        <f ca="1">IF(tbl_LTHM[[#This Row],[RS]]= "", "", 100-(100/(1+tbl_LTHM[[#This Row],[RS]])))</f>
        <v>66.328257191201359</v>
      </c>
      <c r="J44" s="10">
        <f ca="1">IF(ROW($N44)-4&lt;BB_Periods, "", AVERAGE(INDIRECT(ADDRESS(ROW($F44)-RSI_Periods +1, MATCH("Adj Close", Price_Header,0))): INDIRECT(ADDRESS(ROW($F44),MATCH("Adj Close", Price_Header,0)))))</f>
        <v>8.8021428571428579</v>
      </c>
      <c r="K44" s="10">
        <f ca="1">IF(tbl_LTHM[[#This Row],[BB_Mean]]="", "", tbl_LTHM[[#This Row],[BB_Mean]]+(BB_Width*tbl_LTHM[[#This Row],[BB_Stdev]]))</f>
        <v>10.658146480670935</v>
      </c>
      <c r="L44" s="10">
        <f ca="1">IF(tbl_LTHM[[#This Row],[BB_Mean]]="", "", tbl_LTHM[[#This Row],[BB_Mean]]-(BB_Width*tbl_LTHM[[#This Row],[BB_Stdev]]))</f>
        <v>6.9461392336147805</v>
      </c>
      <c r="M44" s="46">
        <f>IF(ROW(tbl_LTHM[[#This Row],[Adj Close]])=5, 0, $F44-$F43)</f>
        <v>1.7299999999999986</v>
      </c>
      <c r="N44" s="46">
        <f>MAX(tbl_LTHM[[#This Row],[Move]],0)</f>
        <v>1.7299999999999986</v>
      </c>
      <c r="O44" s="46">
        <f>MAX(-tbl_LTHM[[#This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0.27999999999999986</v>
      </c>
      <c r="Q44" s="46">
        <f ca="1">IF(ROW($O44)-5&lt;RSI_Periods, "", AVERAGE(INDIRECT(ADDRESS(ROW($O44)-RSI_Periods +1, MATCH("Downmove", Price_Header,0))): INDIRECT(ADDRESS(ROW($O44),MATCH("Downmove", Price_Header,0)))))</f>
        <v>0.14214285714285704</v>
      </c>
      <c r="R44" s="46">
        <f ca="1">IF(tbl_LTHM[[#This Row],[Avg_Upmove]]="", "", tbl_LTHM[[#This Row],[Avg_Upmove]]/tbl_LTHM[[#This Row],[Avg_Downmove]])</f>
        <v>1.9698492462311561</v>
      </c>
      <c r="S44" s="10">
        <f ca="1">IF(ROW($N44)-4&lt;BB_Periods, "", _xlfn.STDEV.S(INDIRECT(ADDRESS(ROW($F44)-RSI_Periods +1, MATCH("Adj Close", Price_Header,0))): INDIRECT(ADDRESS(ROW($F44),MATCH("Adj Close", Price_Header,0)))))</f>
        <v>0.92800181176403862</v>
      </c>
    </row>
    <row r="45" spans="1:19" x14ac:dyDescent="0.35">
      <c r="A45" s="8">
        <v>44110</v>
      </c>
      <c r="B45" s="10">
        <v>12.03</v>
      </c>
      <c r="C45" s="10">
        <v>12.18</v>
      </c>
      <c r="D45" s="10">
        <v>11.06</v>
      </c>
      <c r="E45" s="10">
        <v>11.42</v>
      </c>
      <c r="F45" s="10">
        <v>11.42</v>
      </c>
      <c r="G45">
        <v>19792600</v>
      </c>
      <c r="H45" s="10">
        <f>IF(tbl_LTHM[[#This Row],[Date]]=$A$5, $F45, EMA_Beta*$H44 + (1-EMA_Beta)*$F45)</f>
        <v>9.1497074595321219</v>
      </c>
      <c r="I45" s="46">
        <f ca="1">IF(tbl_LTHM[[#This Row],[RS]]= "", "", 100-(100/(1+tbl_LTHM[[#This Row],[RS]])))</f>
        <v>71.302816901408448</v>
      </c>
      <c r="J45" s="10">
        <f ca="1">IF(ROW($N45)-4&lt;BB_Periods, "", AVERAGE(INDIRECT(ADDRESS(ROW($F45)-RSI_Periods +1, MATCH("Adj Close", Price_Header,0))): INDIRECT(ADDRESS(ROW($F45),MATCH("Adj Close", Price_Header,0)))))</f>
        <v>8.9750000000000014</v>
      </c>
      <c r="K45" s="10">
        <f ca="1">IF(tbl_LTHM[[#This Row],[BB_Mean]]="", "", tbl_LTHM[[#This Row],[BB_Mean]]+(BB_Width*tbl_LTHM[[#This Row],[BB_Stdev]]))</f>
        <v>11.301512741951237</v>
      </c>
      <c r="L45" s="10">
        <f ca="1">IF(tbl_LTHM[[#This Row],[BB_Mean]]="", "", tbl_LTHM[[#This Row],[BB_Mean]]-(BB_Width*tbl_LTHM[[#This Row],[BB_Stdev]]))</f>
        <v>6.6484872580487657</v>
      </c>
      <c r="M45" s="46">
        <f>IF(ROW(tbl_LTHM[[#This Row],[Adj Close]])=5, 0, $F45-$F44)</f>
        <v>0.13000000000000078</v>
      </c>
      <c r="N45" s="46">
        <f>MAX(tbl_LTHM[[#This Row],[Move]],0)</f>
        <v>0.13000000000000078</v>
      </c>
      <c r="O45" s="46">
        <f>MAX(-tbl_LTHM[[#This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0.2892857142857142</v>
      </c>
      <c r="Q45" s="46">
        <f ca="1">IF(ROW($O45)-5&lt;RSI_Periods, "", AVERAGE(INDIRECT(ADDRESS(ROW($O45)-RSI_Periods +1, MATCH("Downmove", Price_Header,0))): INDIRECT(ADDRESS(ROW($O45),MATCH("Downmove", Price_Header,0)))))</f>
        <v>0.11642857142857135</v>
      </c>
      <c r="R45" s="46">
        <f ca="1">IF(tbl_LTHM[[#This Row],[Avg_Upmove]]="", "", tbl_LTHM[[#This Row],[Avg_Upmove]]/tbl_LTHM[[#This Row],[Avg_Downmove]])</f>
        <v>2.4846625766871173</v>
      </c>
      <c r="S45" s="10">
        <f ca="1">IF(ROW($N45)-4&lt;BB_Periods, "", _xlfn.STDEV.S(INDIRECT(ADDRESS(ROW($F45)-RSI_Periods +1, MATCH("Adj Close", Price_Header,0))): INDIRECT(ADDRESS(ROW($F45),MATCH("Adj Close", Price_Header,0)))))</f>
        <v>1.1632563709756181</v>
      </c>
    </row>
    <row r="46" spans="1:19" x14ac:dyDescent="0.35">
      <c r="A46" s="8">
        <v>44111</v>
      </c>
      <c r="B46" s="10">
        <v>11.68</v>
      </c>
      <c r="C46" s="10">
        <v>12.22</v>
      </c>
      <c r="D46" s="10">
        <v>11.25</v>
      </c>
      <c r="E46" s="10">
        <v>11.97</v>
      </c>
      <c r="F46" s="10">
        <v>11.97</v>
      </c>
      <c r="G46">
        <v>8866700</v>
      </c>
      <c r="H46" s="10">
        <f>IF(tbl_LTHM[[#This Row],[Date]]=$A$5, $F46, EMA_Beta*$H45 + (1-EMA_Beta)*$F46)</f>
        <v>9.4317367135789087</v>
      </c>
      <c r="I46" s="46">
        <f ca="1">IF(tbl_LTHM[[#This Row],[RS]]= "", "", 100-(100/(1+tbl_LTHM[[#This Row],[RS]])))</f>
        <v>74.193548387096783</v>
      </c>
      <c r="J46" s="10">
        <f ca="1">IF(ROW($N46)-4&lt;BB_Periods, "", AVERAGE(INDIRECT(ADDRESS(ROW($F46)-RSI_Periods +1, MATCH("Adj Close", Price_Header,0))): INDIRECT(ADDRESS(ROW($F46),MATCH("Adj Close", Price_Header,0)))))</f>
        <v>9.1892857142857167</v>
      </c>
      <c r="K46" s="10">
        <f ca="1">IF(tbl_LTHM[[#This Row],[BB_Mean]]="", "", tbl_LTHM[[#This Row],[BB_Mean]]+(BB_Width*tbl_LTHM[[#This Row],[BB_Stdev]]))</f>
        <v>12.013265059227745</v>
      </c>
      <c r="L46" s="10">
        <f ca="1">IF(tbl_LTHM[[#This Row],[BB_Mean]]="", "", tbl_LTHM[[#This Row],[BB_Mean]]-(BB_Width*tbl_LTHM[[#This Row],[BB_Stdev]]))</f>
        <v>6.3653063693436884</v>
      </c>
      <c r="M46" s="46">
        <f>IF(ROW(tbl_LTHM[[#This Row],[Adj Close]])=5, 0, $F46-$F45)</f>
        <v>0.55000000000000071</v>
      </c>
      <c r="N46" s="46">
        <f>MAX(tbl_LTHM[[#This Row],[Move]],0)</f>
        <v>0.55000000000000071</v>
      </c>
      <c r="O46" s="46">
        <f>MAX(-tbl_LTHM[[#This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0.32857142857142857</v>
      </c>
      <c r="Q46" s="46">
        <f ca="1">IF(ROW($O46)-5&lt;RSI_Periods, "", AVERAGE(INDIRECT(ADDRESS(ROW($O46)-RSI_Periods +1, MATCH("Downmove", Price_Header,0))): INDIRECT(ADDRESS(ROW($O46),MATCH("Downmove", Price_Header,0)))))</f>
        <v>0.11428571428571425</v>
      </c>
      <c r="R46" s="46">
        <f ca="1">IF(tbl_LTHM[[#This Row],[Avg_Upmove]]="", "", tbl_LTHM[[#This Row],[Avg_Upmove]]/tbl_LTHM[[#This Row],[Avg_Downmove]])</f>
        <v>2.8750000000000009</v>
      </c>
      <c r="S46" s="10">
        <f ca="1">IF(ROW($N46)-4&lt;BB_Periods, "", _xlfn.STDEV.S(INDIRECT(ADDRESS(ROW($F46)-RSI_Periods +1, MATCH("Adj Close", Price_Header,0))): INDIRECT(ADDRESS(ROW($F46),MATCH("Adj Close", Price_Header,0)))))</f>
        <v>1.4119896724710144</v>
      </c>
    </row>
    <row r="47" spans="1:19" x14ac:dyDescent="0.35">
      <c r="A47" s="8">
        <v>44112</v>
      </c>
      <c r="B47" s="10">
        <v>12.29</v>
      </c>
      <c r="C47" s="10">
        <v>12.53</v>
      </c>
      <c r="D47" s="10">
        <v>11.43</v>
      </c>
      <c r="E47" s="10">
        <v>11.72</v>
      </c>
      <c r="F47" s="10">
        <v>11.72</v>
      </c>
      <c r="G47">
        <v>9164500</v>
      </c>
      <c r="H47" s="10">
        <f>IF(tbl_LTHM[[#This Row],[Date]]=$A$5, $F47, EMA_Beta*$H46 + (1-EMA_Beta)*$F47)</f>
        <v>9.6605630422210176</v>
      </c>
      <c r="I47" s="46">
        <f ca="1">IF(tbl_LTHM[[#This Row],[RS]]= "", "", 100-(100/(1+tbl_LTHM[[#This Row],[RS]])))</f>
        <v>70.957613814756684</v>
      </c>
      <c r="J47" s="10">
        <f ca="1">IF(ROW($N47)-4&lt;BB_Periods, "", AVERAGE(INDIRECT(ADDRESS(ROW($F47)-RSI_Periods +1, MATCH("Adj Close", Price_Header,0))): INDIRECT(ADDRESS(ROW($F47),MATCH("Adj Close", Price_Header,0)))))</f>
        <v>9.3800000000000008</v>
      </c>
      <c r="K47" s="10">
        <f ca="1">IF(tbl_LTHM[[#This Row],[BB_Mean]]="", "", tbl_LTHM[[#This Row],[BB_Mean]]+(BB_Width*tbl_LTHM[[#This Row],[BB_Stdev]]))</f>
        <v>12.507751711570254</v>
      </c>
      <c r="L47" s="10">
        <f ca="1">IF(tbl_LTHM[[#This Row],[BB_Mean]]="", "", tbl_LTHM[[#This Row],[BB_Mean]]-(BB_Width*tbl_LTHM[[#This Row],[BB_Stdev]]))</f>
        <v>6.2522482884297483</v>
      </c>
      <c r="M47" s="46">
        <f>IF(ROW(tbl_LTHM[[#This Row],[Adj Close]])=5, 0, $F47-$F46)</f>
        <v>-0.25</v>
      </c>
      <c r="N47" s="46">
        <f>MAX(tbl_LTHM[[#This Row],[Move]],0)</f>
        <v>0</v>
      </c>
      <c r="O47" s="46">
        <f>MAX(-tbl_LTHM[[#This Row],[Move]],0)</f>
        <v>0.25</v>
      </c>
      <c r="P47" s="46">
        <f ca="1">IF(ROW($N47)-5&lt;RSI_Periods, "", AVERAGE(INDIRECT(ADDRESS(ROW($N47)-RSI_Periods +1, MATCH("Upmove", Price_Header,0))): INDIRECT(ADDRESS(ROW($N47),MATCH("Upmove", Price_Header,0)))))</f>
        <v>0.32285714285714284</v>
      </c>
      <c r="Q47" s="46">
        <f ca="1">IF(ROW($O47)-5&lt;RSI_Periods, "", AVERAGE(INDIRECT(ADDRESS(ROW($O47)-RSI_Periods +1, MATCH("Downmove", Price_Header,0))): INDIRECT(ADDRESS(ROW($O47),MATCH("Downmove", Price_Header,0)))))</f>
        <v>0.13214285714285712</v>
      </c>
      <c r="R47" s="46">
        <f ca="1">IF(tbl_LTHM[[#This Row],[Avg_Upmove]]="", "", tbl_LTHM[[#This Row],[Avg_Upmove]]/tbl_LTHM[[#This Row],[Avg_Downmove]])</f>
        <v>2.4432432432432436</v>
      </c>
      <c r="S47" s="10">
        <f ca="1">IF(ROW($N47)-4&lt;BB_Periods, "", _xlfn.STDEV.S(INDIRECT(ADDRESS(ROW($F47)-RSI_Periods +1, MATCH("Adj Close", Price_Header,0))): INDIRECT(ADDRESS(ROW($F47),MATCH("Adj Close", Price_Header,0)))))</f>
        <v>1.5638758557851262</v>
      </c>
    </row>
    <row r="48" spans="1:19" x14ac:dyDescent="0.35">
      <c r="A48" s="8">
        <v>44113</v>
      </c>
      <c r="B48" s="10">
        <v>11.74</v>
      </c>
      <c r="C48" s="10">
        <v>12</v>
      </c>
      <c r="D48" s="10">
        <v>11.05</v>
      </c>
      <c r="E48" s="10">
        <v>11.43</v>
      </c>
      <c r="F48" s="10">
        <v>11.43</v>
      </c>
      <c r="G48">
        <v>3970500</v>
      </c>
      <c r="H48" s="10">
        <f>IF(tbl_LTHM[[#This Row],[Date]]=$A$5, $F48, EMA_Beta*$H47 + (1-EMA_Beta)*$F48)</f>
        <v>9.8375067379989147</v>
      </c>
      <c r="I48" s="46">
        <f ca="1">IF(tbl_LTHM[[#This Row],[RS]]= "", "", 100-(100/(1+tbl_LTHM[[#This Row],[RS]])))</f>
        <v>75.459098497495816</v>
      </c>
      <c r="J48" s="10">
        <f ca="1">IF(ROW($N48)-4&lt;BB_Periods, "", AVERAGE(INDIRECT(ADDRESS(ROW($F48)-RSI_Periods +1, MATCH("Adj Close", Price_Header,0))): INDIRECT(ADDRESS(ROW($F48),MATCH("Adj Close", Price_Header,0)))))</f>
        <v>9.5978571428571424</v>
      </c>
      <c r="K48" s="10">
        <f ca="1">IF(tbl_LTHM[[#This Row],[BB_Mean]]="", "", tbl_LTHM[[#This Row],[BB_Mean]]+(BB_Width*tbl_LTHM[[#This Row],[BB_Stdev]]))</f>
        <v>12.848051727057419</v>
      </c>
      <c r="L48" s="10">
        <f ca="1">IF(tbl_LTHM[[#This Row],[BB_Mean]]="", "", tbl_LTHM[[#This Row],[BB_Mean]]-(BB_Width*tbl_LTHM[[#This Row],[BB_Stdev]]))</f>
        <v>6.3476625586568662</v>
      </c>
      <c r="M48" s="46">
        <f>IF(ROW(tbl_LTHM[[#This Row],[Adj Close]])=5, 0, $F48-$F47)</f>
        <v>-0.29000000000000092</v>
      </c>
      <c r="N48" s="46">
        <f>MAX(tbl_LTHM[[#This Row],[Move]],0)</f>
        <v>0</v>
      </c>
      <c r="O48" s="46">
        <f>MAX(-tbl_LTHM[[#This Row],[Move]],0)</f>
        <v>0.29000000000000092</v>
      </c>
      <c r="P48" s="46">
        <f ca="1">IF(ROW($N48)-5&lt;RSI_Periods, "", AVERAGE(INDIRECT(ADDRESS(ROW($N48)-RSI_Periods +1, MATCH("Upmove", Price_Header,0))): INDIRECT(ADDRESS(ROW($N48),MATCH("Upmove", Price_Header,0)))))</f>
        <v>0.32285714285714284</v>
      </c>
      <c r="Q48" s="46">
        <f ca="1">IF(ROW($O48)-5&lt;RSI_Periods, "", AVERAGE(INDIRECT(ADDRESS(ROW($O48)-RSI_Periods +1, MATCH("Downmove", Price_Header,0))): INDIRECT(ADDRESS(ROW($O48),MATCH("Downmove", Price_Header,0)))))</f>
        <v>0.10500000000000005</v>
      </c>
      <c r="R48" s="46">
        <f ca="1">IF(tbl_LTHM[[#This Row],[Avg_Upmove]]="", "", tbl_LTHM[[#This Row],[Avg_Upmove]]/tbl_LTHM[[#This Row],[Avg_Downmove]])</f>
        <v>3.0748299319727876</v>
      </c>
      <c r="S48" s="10">
        <f ca="1">IF(ROW($N48)-4&lt;BB_Periods, "", _xlfn.STDEV.S(INDIRECT(ADDRESS(ROW($F48)-RSI_Periods +1, MATCH("Adj Close", Price_Header,0))): INDIRECT(ADDRESS(ROW($F48),MATCH("Adj Close", Price_Header,0)))))</f>
        <v>1.6250972921001381</v>
      </c>
    </row>
    <row r="49" spans="1:19" x14ac:dyDescent="0.35">
      <c r="A49" s="8">
        <v>44116</v>
      </c>
      <c r="B49" s="10">
        <v>11.46</v>
      </c>
      <c r="C49" s="10">
        <v>11.55</v>
      </c>
      <c r="D49" s="10">
        <v>10.8</v>
      </c>
      <c r="E49" s="10">
        <v>11.07</v>
      </c>
      <c r="F49" s="10">
        <v>11.07</v>
      </c>
      <c r="G49">
        <v>5892400</v>
      </c>
      <c r="H49" s="10">
        <f>IF(tbl_LTHM[[#This Row],[Date]]=$A$5, $F49, EMA_Beta*$H48 + (1-EMA_Beta)*$F49)</f>
        <v>9.9607560641990229</v>
      </c>
      <c r="I49" s="46">
        <f ca="1">IF(tbl_LTHM[[#This Row],[RS]]= "", "", 100-(100/(1+tbl_LTHM[[#This Row],[RS]])))</f>
        <v>71.860095389507165</v>
      </c>
      <c r="J49" s="10">
        <f ca="1">IF(ROW($N49)-4&lt;BB_Periods, "", AVERAGE(INDIRECT(ADDRESS(ROW($F49)-RSI_Periods +1, MATCH("Adj Close", Price_Header,0))): INDIRECT(ADDRESS(ROW($F49),MATCH("Adj Close", Price_Header,0)))))</f>
        <v>9.7942857142857118</v>
      </c>
      <c r="K49" s="10">
        <f ca="1">IF(tbl_LTHM[[#This Row],[BB_Mean]]="", "", tbl_LTHM[[#This Row],[BB_Mean]]+(BB_Width*tbl_LTHM[[#This Row],[BB_Stdev]]))</f>
        <v>13.044201351398755</v>
      </c>
      <c r="L49" s="10">
        <f ca="1">IF(tbl_LTHM[[#This Row],[BB_Mean]]="", "", tbl_LTHM[[#This Row],[BB_Mean]]-(BB_Width*tbl_LTHM[[#This Row],[BB_Stdev]]))</f>
        <v>6.5443700771726698</v>
      </c>
      <c r="M49" s="46">
        <f>IF(ROW(tbl_LTHM[[#This Row],[Adj Close]])=5, 0, $F49-$F48)</f>
        <v>-0.35999999999999943</v>
      </c>
      <c r="N49" s="46">
        <f>MAX(tbl_LTHM[[#This Row],[Move]],0)</f>
        <v>0</v>
      </c>
      <c r="O49" s="46">
        <f>MAX(-tbl_LTHM[[#This Row],[Move]],0)</f>
        <v>0.35999999999999943</v>
      </c>
      <c r="P49" s="46">
        <f ca="1">IF(ROW($N49)-5&lt;RSI_Periods, "", AVERAGE(INDIRECT(ADDRESS(ROW($N49)-RSI_Periods +1, MATCH("Upmove", Price_Header,0))): INDIRECT(ADDRESS(ROW($N49),MATCH("Upmove", Price_Header,0)))))</f>
        <v>0.32285714285714284</v>
      </c>
      <c r="Q49" s="46">
        <f ca="1">IF(ROW($O49)-5&lt;RSI_Periods, "", AVERAGE(INDIRECT(ADDRESS(ROW($O49)-RSI_Periods +1, MATCH("Downmove", Price_Header,0))): INDIRECT(ADDRESS(ROW($O49),MATCH("Downmove", Price_Header,0)))))</f>
        <v>0.12642857142857139</v>
      </c>
      <c r="R49" s="46">
        <f ca="1">IF(tbl_LTHM[[#This Row],[Avg_Upmove]]="", "", tbl_LTHM[[#This Row],[Avg_Upmove]]/tbl_LTHM[[#This Row],[Avg_Downmove]])</f>
        <v>2.5536723163841812</v>
      </c>
      <c r="S49" s="10">
        <f ca="1">IF(ROW($N49)-4&lt;BB_Periods, "", _xlfn.STDEV.S(INDIRECT(ADDRESS(ROW($F49)-RSI_Periods +1, MATCH("Adj Close", Price_Header,0))): INDIRECT(ADDRESS(ROW($F49),MATCH("Adj Close", Price_Header,0)))))</f>
        <v>1.624957818556521</v>
      </c>
    </row>
    <row r="50" spans="1:19" x14ac:dyDescent="0.35">
      <c r="A50" s="8">
        <v>44117</v>
      </c>
      <c r="B50" s="10">
        <v>10.92</v>
      </c>
      <c r="C50" s="10">
        <v>11.12</v>
      </c>
      <c r="D50" s="10">
        <v>10.59</v>
      </c>
      <c r="E50" s="10">
        <v>11.01</v>
      </c>
      <c r="F50" s="10">
        <v>11.01</v>
      </c>
      <c r="G50">
        <v>3014900</v>
      </c>
      <c r="H50" s="10">
        <f>IF(tbl_LTHM[[#This Row],[Date]]=$A$5, $F50, EMA_Beta*$H49 + (1-EMA_Beta)*$F50)</f>
        <v>10.06568045777912</v>
      </c>
      <c r="I50" s="46">
        <f ca="1">IF(tbl_LTHM[[#This Row],[RS]]= "", "", 100-(100/(1+tbl_LTHM[[#This Row],[RS]])))</f>
        <v>80.714285714285708</v>
      </c>
      <c r="J50" s="10">
        <f ca="1">IF(ROW($N50)-4&lt;BB_Periods, "", AVERAGE(INDIRECT(ADDRESS(ROW($F50)-RSI_Periods +1, MATCH("Adj Close", Price_Header,0))): INDIRECT(ADDRESS(ROW($F50),MATCH("Adj Close", Price_Header,0)))))</f>
        <v>10.039999999999997</v>
      </c>
      <c r="K50" s="10">
        <f ca="1">IF(tbl_LTHM[[#This Row],[BB_Mean]]="", "", tbl_LTHM[[#This Row],[BB_Mean]]+(BB_Width*tbl_LTHM[[#This Row],[BB_Stdev]]))</f>
        <v>13.078805433313997</v>
      </c>
      <c r="L50" s="10">
        <f ca="1">IF(tbl_LTHM[[#This Row],[BB_Mean]]="", "", tbl_LTHM[[#This Row],[BB_Mean]]-(BB_Width*tbl_LTHM[[#This Row],[BB_Stdev]]))</f>
        <v>7.0011945666859976</v>
      </c>
      <c r="M50" s="46">
        <f>IF(ROW(tbl_LTHM[[#This Row],[Adj Close]])=5, 0, $F50-$F49)</f>
        <v>-6.0000000000000497E-2</v>
      </c>
      <c r="N50" s="46">
        <f>MAX(tbl_LTHM[[#This Row],[Move]],0)</f>
        <v>0</v>
      </c>
      <c r="O50" s="46">
        <f>MAX(-tbl_LTHM[[#This Row],[Move]],0)</f>
        <v>6.0000000000000497E-2</v>
      </c>
      <c r="P50" s="46">
        <f ca="1">IF(ROW($N50)-5&lt;RSI_Periods, "", AVERAGE(INDIRECT(ADDRESS(ROW($N50)-RSI_Periods +1, MATCH("Upmove", Price_Header,0))): INDIRECT(ADDRESS(ROW($N50),MATCH("Upmove", Price_Header,0)))))</f>
        <v>0.32285714285714284</v>
      </c>
      <c r="Q50" s="46">
        <f ca="1">IF(ROW($O50)-5&lt;RSI_Periods, "", AVERAGE(INDIRECT(ADDRESS(ROW($O50)-RSI_Periods +1, MATCH("Downmove", Price_Header,0))): INDIRECT(ADDRESS(ROW($O50),MATCH("Downmove", Price_Header,0)))))</f>
        <v>7.7142857142857152E-2</v>
      </c>
      <c r="R50" s="46">
        <f ca="1">IF(tbl_LTHM[[#This Row],[Avg_Upmove]]="", "", tbl_LTHM[[#This Row],[Avg_Upmove]]/tbl_LTHM[[#This Row],[Avg_Downmove]])</f>
        <v>4.1851851851851842</v>
      </c>
      <c r="S50" s="10">
        <f ca="1">IF(ROW($N50)-4&lt;BB_Periods, "", _xlfn.STDEV.S(INDIRECT(ADDRESS(ROW($F50)-RSI_Periods +1, MATCH("Adj Close", Price_Header,0))): INDIRECT(ADDRESS(ROW($F50),MATCH("Adj Close", Price_Header,0)))))</f>
        <v>1.5194027166569999</v>
      </c>
    </row>
    <row r="51" spans="1:19" x14ac:dyDescent="0.35">
      <c r="A51" s="8">
        <v>44118</v>
      </c>
      <c r="B51" s="10">
        <v>11.14</v>
      </c>
      <c r="C51" s="10">
        <v>11.32</v>
      </c>
      <c r="D51" s="10">
        <v>10.89</v>
      </c>
      <c r="E51" s="10">
        <v>11</v>
      </c>
      <c r="F51" s="10">
        <v>11</v>
      </c>
      <c r="G51">
        <v>2198200</v>
      </c>
      <c r="H51" s="10">
        <f>IF(tbl_LTHM[[#This Row],[Date]]=$A$5, $F51, EMA_Beta*$H50 + (1-EMA_Beta)*$F51)</f>
        <v>10.159112412001209</v>
      </c>
      <c r="I51" s="46">
        <f ca="1">IF(tbl_LTHM[[#This Row],[RS]]= "", "", 100-(100/(1+tbl_LTHM[[#This Row],[RS]])))</f>
        <v>80.109489051094897</v>
      </c>
      <c r="J51" s="10">
        <f ca="1">IF(ROW($N51)-4&lt;BB_Periods, "", AVERAGE(INDIRECT(ADDRESS(ROW($F51)-RSI_Periods +1, MATCH("Adj Close", Price_Header,0))): INDIRECT(ADDRESS(ROW($F51),MATCH("Adj Close", Price_Header,0)))))</f>
        <v>10.275714285714285</v>
      </c>
      <c r="K51" s="10">
        <f ca="1">IF(tbl_LTHM[[#This Row],[BB_Mean]]="", "", tbl_LTHM[[#This Row],[BB_Mean]]+(BB_Width*tbl_LTHM[[#This Row],[BB_Stdev]]))</f>
        <v>13.031393336867952</v>
      </c>
      <c r="L51" s="10">
        <f ca="1">IF(tbl_LTHM[[#This Row],[BB_Mean]]="", "", tbl_LTHM[[#This Row],[BB_Mean]]-(BB_Width*tbl_LTHM[[#This Row],[BB_Stdev]]))</f>
        <v>7.5200352345606181</v>
      </c>
      <c r="M51" s="46">
        <f>IF(ROW(tbl_LTHM[[#This Row],[Adj Close]])=5, 0, $F51-$F50)</f>
        <v>-9.9999999999997868E-3</v>
      </c>
      <c r="N51" s="46">
        <f>MAX(tbl_LTHM[[#This Row],[Move]],0)</f>
        <v>0</v>
      </c>
      <c r="O51" s="46">
        <f>MAX(-tbl_LTHM[[#This Row],[Move]],0)</f>
        <v>9.9999999999997868E-3</v>
      </c>
      <c r="P51" s="46">
        <f ca="1">IF(ROW($N51)-5&lt;RSI_Periods, "", AVERAGE(INDIRECT(ADDRESS(ROW($N51)-RSI_Periods +1, MATCH("Upmove", Price_Header,0))): INDIRECT(ADDRESS(ROW($N51),MATCH("Upmove", Price_Header,0)))))</f>
        <v>0.31357142857142856</v>
      </c>
      <c r="Q51" s="46">
        <f ca="1">IF(ROW($O51)-5&lt;RSI_Periods, "", AVERAGE(INDIRECT(ADDRESS(ROW($O51)-RSI_Periods +1, MATCH("Downmove", Price_Header,0))): INDIRECT(ADDRESS(ROW($O51),MATCH("Downmove", Price_Header,0)))))</f>
        <v>7.7857142857142847E-2</v>
      </c>
      <c r="R51" s="46">
        <f ca="1">IF(tbl_LTHM[[#This Row],[Avg_Upmove]]="", "", tbl_LTHM[[#This Row],[Avg_Upmove]]/tbl_LTHM[[#This Row],[Avg_Downmove]])</f>
        <v>4.0275229357798166</v>
      </c>
      <c r="S51" s="10">
        <f ca="1">IF(ROW($N51)-4&lt;BB_Periods, "", _xlfn.STDEV.S(INDIRECT(ADDRESS(ROW($F51)-RSI_Periods +1, MATCH("Adj Close", Price_Header,0))): INDIRECT(ADDRESS(ROW($F51),MATCH("Adj Close", Price_Header,0)))))</f>
        <v>1.3778395255768334</v>
      </c>
    </row>
    <row r="52" spans="1:19" x14ac:dyDescent="0.35">
      <c r="A52" s="8">
        <v>44119</v>
      </c>
      <c r="B52" s="10">
        <v>10.69</v>
      </c>
      <c r="C52" s="10">
        <v>10.99</v>
      </c>
      <c r="D52" s="10">
        <v>10.67</v>
      </c>
      <c r="E52" s="10">
        <v>10.97</v>
      </c>
      <c r="F52" s="10">
        <v>10.97</v>
      </c>
      <c r="G52">
        <v>1741200</v>
      </c>
      <c r="H52" s="10">
        <f>IF(tbl_LTHM[[#This Row],[Date]]=$A$5, $F52, EMA_Beta*$H51 + (1-EMA_Beta)*$F52)</f>
        <v>10.240201170801088</v>
      </c>
      <c r="I52" s="46">
        <f ca="1">IF(tbl_LTHM[[#This Row],[RS]]= "", "", 100-(100/(1+tbl_LTHM[[#This Row],[RS]])))</f>
        <v>78.986866791744859</v>
      </c>
      <c r="J52" s="10">
        <f ca="1">IF(ROW($N52)-4&lt;BB_Periods, "", AVERAGE(INDIRECT(ADDRESS(ROW($F52)-RSI_Periods +1, MATCH("Adj Close", Price_Header,0))): INDIRECT(ADDRESS(ROW($F52),MATCH("Adj Close", Price_Header,0)))))</f>
        <v>10.496428571428572</v>
      </c>
      <c r="K52" s="10">
        <f ca="1">IF(tbl_LTHM[[#This Row],[BB_Mean]]="", "", tbl_LTHM[[#This Row],[BB_Mean]]+(BB_Width*tbl_LTHM[[#This Row],[BB_Stdev]]))</f>
        <v>12.89773087377467</v>
      </c>
      <c r="L52" s="10">
        <f ca="1">IF(tbl_LTHM[[#This Row],[BB_Mean]]="", "", tbl_LTHM[[#This Row],[BB_Mean]]-(BB_Width*tbl_LTHM[[#This Row],[BB_Stdev]]))</f>
        <v>8.0951262690824741</v>
      </c>
      <c r="M52" s="46">
        <f>IF(ROW(tbl_LTHM[[#This Row],[Adj Close]])=5, 0, $F52-$F51)</f>
        <v>-2.9999999999999361E-2</v>
      </c>
      <c r="N52" s="46">
        <f>MAX(tbl_LTHM[[#This Row],[Move]],0)</f>
        <v>0</v>
      </c>
      <c r="O52" s="46">
        <f>MAX(-tbl_LTHM[[#This Row],[Move]],0)</f>
        <v>2.9999999999999361E-2</v>
      </c>
      <c r="P52" s="46">
        <f ca="1">IF(ROW($N52)-5&lt;RSI_Periods, "", AVERAGE(INDIRECT(ADDRESS(ROW($N52)-RSI_Periods +1, MATCH("Upmove", Price_Header,0))): INDIRECT(ADDRESS(ROW($N52),MATCH("Upmove", Price_Header,0)))))</f>
        <v>0.30071428571428571</v>
      </c>
      <c r="Q52" s="46">
        <f ca="1">IF(ROW($O52)-5&lt;RSI_Periods, "", AVERAGE(INDIRECT(ADDRESS(ROW($O52)-RSI_Periods +1, MATCH("Downmove", Price_Header,0))): INDIRECT(ADDRESS(ROW($O52),MATCH("Downmove", Price_Header,0)))))</f>
        <v>7.9999999999999946E-2</v>
      </c>
      <c r="R52" s="46">
        <f ca="1">IF(tbl_LTHM[[#This Row],[Avg_Upmove]]="", "", tbl_LTHM[[#This Row],[Avg_Upmove]]/tbl_LTHM[[#This Row],[Avg_Downmove]])</f>
        <v>3.7589285714285738</v>
      </c>
      <c r="S52" s="10">
        <f ca="1">IF(ROW($N52)-4&lt;BB_Periods, "", _xlfn.STDEV.S(INDIRECT(ADDRESS(ROW($F52)-RSI_Periods +1, MATCH("Adj Close", Price_Header,0))): INDIRECT(ADDRESS(ROW($F52),MATCH("Adj Close", Price_Header,0)))))</f>
        <v>1.2006511511730489</v>
      </c>
    </row>
    <row r="53" spans="1:19" x14ac:dyDescent="0.35">
      <c r="A53" s="8">
        <v>44120</v>
      </c>
      <c r="B53" s="10">
        <v>10.98</v>
      </c>
      <c r="C53" s="10">
        <v>11.07</v>
      </c>
      <c r="D53" s="10">
        <v>10.199999999999999</v>
      </c>
      <c r="E53" s="10">
        <v>10.210000000000001</v>
      </c>
      <c r="F53" s="10">
        <v>10.210000000000001</v>
      </c>
      <c r="G53">
        <v>3561900</v>
      </c>
      <c r="H53" s="10">
        <f>IF(tbl_LTHM[[#This Row],[Date]]=$A$5, $F53, EMA_Beta*$H52 + (1-EMA_Beta)*$F53)</f>
        <v>10.237181053720978</v>
      </c>
      <c r="I53" s="46">
        <f ca="1">IF(tbl_LTHM[[#This Row],[RS]]= "", "", 100-(100/(1+tbl_LTHM[[#This Row],[RS]])))</f>
        <v>66.126126126126138</v>
      </c>
      <c r="J53" s="10">
        <f ca="1">IF(ROW($N53)-4&lt;BB_Periods, "", AVERAGE(INDIRECT(ADDRESS(ROW($F53)-RSI_Periods +1, MATCH("Adj Close", Price_Header,0))): INDIRECT(ADDRESS(ROW($F53),MATCH("Adj Close", Price_Header,0)))))</f>
        <v>10.624285714285717</v>
      </c>
      <c r="K53" s="10">
        <f ca="1">IF(tbl_LTHM[[#This Row],[BB_Mean]]="", "", tbl_LTHM[[#This Row],[BB_Mean]]+(BB_Width*tbl_LTHM[[#This Row],[BB_Stdev]]))</f>
        <v>12.720578622264933</v>
      </c>
      <c r="L53" s="10">
        <f ca="1">IF(tbl_LTHM[[#This Row],[BB_Mean]]="", "", tbl_LTHM[[#This Row],[BB_Mean]]-(BB_Width*tbl_LTHM[[#This Row],[BB_Stdev]]))</f>
        <v>8.5279928063065018</v>
      </c>
      <c r="M53" s="46">
        <f>IF(ROW(tbl_LTHM[[#This Row],[Adj Close]])=5, 0, $F53-$F52)</f>
        <v>-0.75999999999999979</v>
      </c>
      <c r="N53" s="46">
        <f>MAX(tbl_LTHM[[#This Row],[Move]],0)</f>
        <v>0</v>
      </c>
      <c r="O53" s="46">
        <f>MAX(-tbl_LTHM[[#This Row],[Move]],0)</f>
        <v>0.75999999999999979</v>
      </c>
      <c r="P53" s="46">
        <f ca="1">IF(ROW($N53)-5&lt;RSI_Periods, "", AVERAGE(INDIRECT(ADDRESS(ROW($N53)-RSI_Periods +1, MATCH("Upmove", Price_Header,0))): INDIRECT(ADDRESS(ROW($N53),MATCH("Upmove", Price_Header,0)))))</f>
        <v>0.26214285714285712</v>
      </c>
      <c r="Q53" s="46">
        <f ca="1">IF(ROW($O53)-5&lt;RSI_Periods, "", AVERAGE(INDIRECT(ADDRESS(ROW($O53)-RSI_Periods +1, MATCH("Downmove", Price_Header,0))): INDIRECT(ADDRESS(ROW($O53),MATCH("Downmove", Price_Header,0)))))</f>
        <v>0.1342857142857142</v>
      </c>
      <c r="R53" s="46">
        <f ca="1">IF(tbl_LTHM[[#This Row],[Avg_Upmove]]="", "", tbl_LTHM[[#This Row],[Avg_Upmove]]/tbl_LTHM[[#This Row],[Avg_Downmove]])</f>
        <v>1.9521276595744692</v>
      </c>
      <c r="S53" s="10">
        <f ca="1">IF(ROW($N53)-4&lt;BB_Periods, "", _xlfn.STDEV.S(INDIRECT(ADDRESS(ROW($F53)-RSI_Periods +1, MATCH("Adj Close", Price_Header,0))): INDIRECT(ADDRESS(ROW($F53),MATCH("Adj Close", Price_Header,0)))))</f>
        <v>1.0481464539896079</v>
      </c>
    </row>
    <row r="54" spans="1:19" x14ac:dyDescent="0.35">
      <c r="A54" s="8">
        <v>44123</v>
      </c>
      <c r="B54" s="10">
        <v>10.24</v>
      </c>
      <c r="C54" s="10">
        <v>10.52</v>
      </c>
      <c r="D54" s="10">
        <v>10.08</v>
      </c>
      <c r="E54" s="10">
        <v>10.15</v>
      </c>
      <c r="F54" s="10">
        <v>10.15</v>
      </c>
      <c r="G54">
        <v>3203900</v>
      </c>
      <c r="H54" s="10">
        <f>IF(tbl_LTHM[[#This Row],[Date]]=$A$5, $F54, EMA_Beta*$H53 + (1-EMA_Beta)*$F54)</f>
        <v>10.228462948348881</v>
      </c>
      <c r="I54" s="46">
        <f ca="1">IF(tbl_LTHM[[#This Row],[RS]]= "", "", 100-(100/(1+tbl_LTHM[[#This Row],[RS]])))</f>
        <v>60.728744939271259</v>
      </c>
      <c r="J54" s="10">
        <f ca="1">IF(ROW($N54)-4&lt;BB_Periods, "", AVERAGE(INDIRECT(ADDRESS(ROW($F54)-RSI_Periods +1, MATCH("Adj Close", Price_Header,0))): INDIRECT(ADDRESS(ROW($F54),MATCH("Adj Close", Price_Header,0)))))</f>
        <v>10.700000000000003</v>
      </c>
      <c r="K54" s="10">
        <f ca="1">IF(tbl_LTHM[[#This Row],[BB_Mean]]="", "", tbl_LTHM[[#This Row],[BB_Mean]]+(BB_Width*tbl_LTHM[[#This Row],[BB_Stdev]]))</f>
        <v>12.627341732502611</v>
      </c>
      <c r="L54" s="10">
        <f ca="1">IF(tbl_LTHM[[#This Row],[BB_Mean]]="", "", tbl_LTHM[[#This Row],[BB_Mean]]-(BB_Width*tbl_LTHM[[#This Row],[BB_Stdev]]))</f>
        <v>8.7726582674973947</v>
      </c>
      <c r="M54" s="46">
        <f>IF(ROW(tbl_LTHM[[#This Row],[Adj Close]])=5, 0, $F54-$F53)</f>
        <v>-6.0000000000000497E-2</v>
      </c>
      <c r="N54" s="46">
        <f>MAX(tbl_LTHM[[#This Row],[Move]],0)</f>
        <v>0</v>
      </c>
      <c r="O54" s="46">
        <f>MAX(-tbl_LTHM[[#This Row],[Move]],0)</f>
        <v>6.0000000000000497E-2</v>
      </c>
      <c r="P54" s="46">
        <f ca="1">IF(ROW($N54)-5&lt;RSI_Periods, "", AVERAGE(INDIRECT(ADDRESS(ROW($N54)-RSI_Periods +1, MATCH("Upmove", Price_Header,0))): INDIRECT(ADDRESS(ROW($N54),MATCH("Upmove", Price_Header,0)))))</f>
        <v>0.21428571428571427</v>
      </c>
      <c r="Q54" s="46">
        <f ca="1">IF(ROW($O54)-5&lt;RSI_Periods, "", AVERAGE(INDIRECT(ADDRESS(ROW($O54)-RSI_Periods +1, MATCH("Downmove", Price_Header,0))): INDIRECT(ADDRESS(ROW($O54),MATCH("Downmove", Price_Header,0)))))</f>
        <v>0.13857142857142854</v>
      </c>
      <c r="R54" s="46">
        <f ca="1">IF(tbl_LTHM[[#This Row],[Avg_Upmove]]="", "", tbl_LTHM[[#This Row],[Avg_Upmove]]/tbl_LTHM[[#This Row],[Avg_Downmove]])</f>
        <v>1.5463917525773199</v>
      </c>
      <c r="S54" s="10">
        <f ca="1">IF(ROW($N54)-4&lt;BB_Periods, "", _xlfn.STDEV.S(INDIRECT(ADDRESS(ROW($F54)-RSI_Periods +1, MATCH("Adj Close", Price_Header,0))): INDIRECT(ADDRESS(ROW($F54),MATCH("Adj Close", Price_Header,0)))))</f>
        <v>0.96367086625130394</v>
      </c>
    </row>
    <row r="55" spans="1:19" x14ac:dyDescent="0.35">
      <c r="A55" s="8">
        <v>44124</v>
      </c>
      <c r="B55" s="10">
        <v>10.25</v>
      </c>
      <c r="C55" s="10">
        <v>10.99</v>
      </c>
      <c r="D55" s="10">
        <v>10.210000000000001</v>
      </c>
      <c r="E55" s="10">
        <v>10.39</v>
      </c>
      <c r="F55" s="10">
        <v>10.39</v>
      </c>
      <c r="G55">
        <v>3633000</v>
      </c>
      <c r="H55" s="10">
        <f>IF(tbl_LTHM[[#This Row],[Date]]=$A$5, $F55, EMA_Beta*$H54 + (1-EMA_Beta)*$F55)</f>
        <v>10.244616653513992</v>
      </c>
      <c r="I55" s="46">
        <f ca="1">IF(tbl_LTHM[[#This Row],[RS]]= "", "", 100-(100/(1+tbl_LTHM[[#This Row],[RS]])))</f>
        <v>64.031620553359687</v>
      </c>
      <c r="J55" s="10">
        <f ca="1">IF(ROW($N55)-4&lt;BB_Periods, "", AVERAGE(INDIRECT(ADDRESS(ROW($F55)-RSI_Periods +1, MATCH("Adj Close", Price_Header,0))): INDIRECT(ADDRESS(ROW($F55),MATCH("Adj Close", Price_Header,0)))))</f>
        <v>10.80142857142857</v>
      </c>
      <c r="K55" s="10">
        <f ca="1">IF(tbl_LTHM[[#This Row],[BB_Mean]]="", "", tbl_LTHM[[#This Row],[BB_Mean]]+(BB_Width*tbl_LTHM[[#This Row],[BB_Stdev]]))</f>
        <v>12.468463842023224</v>
      </c>
      <c r="L55" s="10">
        <f ca="1">IF(tbl_LTHM[[#This Row],[BB_Mean]]="", "", tbl_LTHM[[#This Row],[BB_Mean]]-(BB_Width*tbl_LTHM[[#This Row],[BB_Stdev]]))</f>
        <v>9.1343933008339153</v>
      </c>
      <c r="M55" s="46">
        <f>IF(ROW(tbl_LTHM[[#This Row],[Adj Close]])=5, 0, $F55-$F54)</f>
        <v>0.24000000000000021</v>
      </c>
      <c r="N55" s="46">
        <f>MAX(tbl_LTHM[[#This Row],[Move]],0)</f>
        <v>0.24000000000000021</v>
      </c>
      <c r="O55" s="46">
        <f>MAX(-tbl_LTHM[[#This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0.23142857142857146</v>
      </c>
      <c r="Q55" s="46">
        <f ca="1">IF(ROW($O55)-5&lt;RSI_Periods, "", AVERAGE(INDIRECT(ADDRESS(ROW($O55)-RSI_Periods +1, MATCH("Downmove", Price_Header,0))): INDIRECT(ADDRESS(ROW($O55),MATCH("Downmove", Price_Header,0)))))</f>
        <v>0.13000000000000003</v>
      </c>
      <c r="R55" s="46">
        <f ca="1">IF(tbl_LTHM[[#This Row],[Avg_Upmove]]="", "", tbl_LTHM[[#This Row],[Avg_Upmove]]/tbl_LTHM[[#This Row],[Avg_Downmove]])</f>
        <v>1.7802197802197799</v>
      </c>
      <c r="S55" s="10">
        <f ca="1">IF(ROW($N55)-4&lt;BB_Periods, "", _xlfn.STDEV.S(INDIRECT(ADDRESS(ROW($F55)-RSI_Periods +1, MATCH("Adj Close", Price_Header,0))): INDIRECT(ADDRESS(ROW($F55),MATCH("Adj Close", Price_Header,0)))))</f>
        <v>0.83351763529732736</v>
      </c>
    </row>
    <row r="56" spans="1:19" x14ac:dyDescent="0.35">
      <c r="A56" s="8">
        <v>44125</v>
      </c>
      <c r="B56" s="10">
        <v>10.51</v>
      </c>
      <c r="C56" s="10">
        <v>11.19</v>
      </c>
      <c r="D56" s="10">
        <v>10.35</v>
      </c>
      <c r="E56" s="10">
        <v>10.97</v>
      </c>
      <c r="F56" s="10">
        <v>10.97</v>
      </c>
      <c r="G56">
        <v>4132500</v>
      </c>
      <c r="H56" s="10">
        <f>IF(tbl_LTHM[[#This Row],[Date]]=$A$5, $F56, EMA_Beta*$H55 + (1-EMA_Beta)*$F56)</f>
        <v>10.317154988162592</v>
      </c>
      <c r="I56" s="46">
        <f ca="1">IF(tbl_LTHM[[#This Row],[RS]]= "", "", 100-(100/(1+tbl_LTHM[[#This Row],[RS]])))</f>
        <v>67.383512544802869</v>
      </c>
      <c r="J56" s="10">
        <f ca="1">IF(ROW($N56)-4&lt;BB_Periods, "", AVERAGE(INDIRECT(ADDRESS(ROW($F56)-RSI_Periods +1, MATCH("Adj Close", Price_Header,0))): INDIRECT(ADDRESS(ROW($F56),MATCH("Adj Close", Price_Header,0)))))</f>
        <v>10.94</v>
      </c>
      <c r="K56" s="10">
        <f ca="1">IF(tbl_LTHM[[#This Row],[BB_Mean]]="", "", tbl_LTHM[[#This Row],[BB_Mean]]+(BB_Width*tbl_LTHM[[#This Row],[BB_Stdev]]))</f>
        <v>12.258903973876677</v>
      </c>
      <c r="L56" s="10">
        <f ca="1">IF(tbl_LTHM[[#This Row],[BB_Mean]]="", "", tbl_LTHM[[#This Row],[BB_Mean]]-(BB_Width*tbl_LTHM[[#This Row],[BB_Stdev]]))</f>
        <v>9.6210960261233218</v>
      </c>
      <c r="M56" s="46">
        <f>IF(ROW(tbl_LTHM[[#This Row],[Adj Close]])=5, 0, $F56-$F55)</f>
        <v>0.58000000000000007</v>
      </c>
      <c r="N56" s="46">
        <f>MAX(tbl_LTHM[[#This Row],[Move]],0)</f>
        <v>0.58000000000000007</v>
      </c>
      <c r="O56" s="46">
        <f>MAX(-tbl_LTHM[[#This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0.26857142857142868</v>
      </c>
      <c r="Q56" s="46">
        <f ca="1">IF(ROW($O56)-5&lt;RSI_Periods, "", AVERAGE(INDIRECT(ADDRESS(ROW($O56)-RSI_Periods +1, MATCH("Downmove", Price_Header,0))): INDIRECT(ADDRESS(ROW($O56),MATCH("Downmove", Price_Header,0)))))</f>
        <v>0.13000000000000003</v>
      </c>
      <c r="R56" s="46">
        <f ca="1">IF(tbl_LTHM[[#This Row],[Avg_Upmove]]="", "", tbl_LTHM[[#This Row],[Avg_Upmove]]/tbl_LTHM[[#This Row],[Avg_Downmove]])</f>
        <v>2.0659340659340661</v>
      </c>
      <c r="S56" s="10">
        <f ca="1">IF(ROW($N56)-4&lt;BB_Periods, "", _xlfn.STDEV.S(INDIRECT(ADDRESS(ROW($F56)-RSI_Periods +1, MATCH("Adj Close", Price_Header,0))): INDIRECT(ADDRESS(ROW($F56),MATCH("Adj Close", Price_Header,0)))))</f>
        <v>0.65945198693833873</v>
      </c>
    </row>
    <row r="57" spans="1:19" x14ac:dyDescent="0.35">
      <c r="A57" s="8">
        <v>44126</v>
      </c>
      <c r="B57" s="10">
        <v>11.02</v>
      </c>
      <c r="C57" s="10">
        <v>11.07</v>
      </c>
      <c r="D57" s="10">
        <v>10.199999999999999</v>
      </c>
      <c r="E57" s="10">
        <v>10.6</v>
      </c>
      <c r="F57" s="10">
        <v>10.6</v>
      </c>
      <c r="G57">
        <v>2844300</v>
      </c>
      <c r="H57" s="10">
        <f>IF(tbl_LTHM[[#This Row],[Date]]=$A$5, $F57, EMA_Beta*$H56 + (1-EMA_Beta)*$F57)</f>
        <v>10.345439489346333</v>
      </c>
      <c r="I57" s="46">
        <f ca="1">IF(tbl_LTHM[[#This Row],[RS]]= "", "", 100-(100/(1+tbl_LTHM[[#This Row],[RS]])))</f>
        <v>59.594095940959392</v>
      </c>
      <c r="J57" s="10">
        <f ca="1">IF(ROW($N57)-4&lt;BB_Periods, "", AVERAGE(INDIRECT(ADDRESS(ROW($F57)-RSI_Periods +1, MATCH("Adj Close", Price_Header,0))): INDIRECT(ADDRESS(ROW($F57),MATCH("Adj Close", Price_Header,0)))))</f>
        <v>11.014285714285714</v>
      </c>
      <c r="K57" s="10">
        <f ca="1">IF(tbl_LTHM[[#This Row],[BB_Mean]]="", "", tbl_LTHM[[#This Row],[BB_Mean]]+(BB_Width*tbl_LTHM[[#This Row],[BB_Stdev]]))</f>
        <v>12.09379313146091</v>
      </c>
      <c r="L57" s="10">
        <f ca="1">IF(tbl_LTHM[[#This Row],[BB_Mean]]="", "", tbl_LTHM[[#This Row],[BB_Mean]]-(BB_Width*tbl_LTHM[[#This Row],[BB_Stdev]]))</f>
        <v>9.934778297110519</v>
      </c>
      <c r="M57" s="46">
        <f>IF(ROW(tbl_LTHM[[#This Row],[Adj Close]])=5, 0, $F57-$F56)</f>
        <v>-0.37000000000000099</v>
      </c>
      <c r="N57" s="46">
        <f>MAX(tbl_LTHM[[#This Row],[Move]],0)</f>
        <v>0</v>
      </c>
      <c r="O57" s="46">
        <f>MAX(-tbl_LTHM[[#This Row],[Move]],0)</f>
        <v>0.37000000000000099</v>
      </c>
      <c r="P57" s="46">
        <f ca="1">IF(ROW($N57)-5&lt;RSI_Periods, "", AVERAGE(INDIRECT(ADDRESS(ROW($N57)-RSI_Periods +1, MATCH("Upmove", Price_Header,0))): INDIRECT(ADDRESS(ROW($N57),MATCH("Upmove", Price_Header,0)))))</f>
        <v>0.23071428571428573</v>
      </c>
      <c r="Q57" s="46">
        <f ca="1">IF(ROW($O57)-5&lt;RSI_Periods, "", AVERAGE(INDIRECT(ADDRESS(ROW($O57)-RSI_Periods +1, MATCH("Downmove", Price_Header,0))): INDIRECT(ADDRESS(ROW($O57),MATCH("Downmove", Price_Header,0)))))</f>
        <v>0.15642857142857153</v>
      </c>
      <c r="R57" s="46">
        <f ca="1">IF(tbl_LTHM[[#This Row],[Avg_Upmove]]="", "", tbl_LTHM[[#This Row],[Avg_Upmove]]/tbl_LTHM[[#This Row],[Avg_Downmove]])</f>
        <v>1.4748858447488575</v>
      </c>
      <c r="S57" s="10">
        <f ca="1">IF(ROW($N57)-4&lt;BB_Periods, "", _xlfn.STDEV.S(INDIRECT(ADDRESS(ROW($F57)-RSI_Periods +1, MATCH("Adj Close", Price_Header,0))): INDIRECT(ADDRESS(ROW($F57),MATCH("Adj Close", Price_Header,0)))))</f>
        <v>0.53975370858759808</v>
      </c>
    </row>
    <row r="58" spans="1:19" x14ac:dyDescent="0.35">
      <c r="A58" s="8">
        <v>44127</v>
      </c>
      <c r="B58" s="10">
        <v>10.78</v>
      </c>
      <c r="C58" s="10">
        <v>11.04</v>
      </c>
      <c r="D58" s="10">
        <v>10.69</v>
      </c>
      <c r="E58" s="10">
        <v>10.79</v>
      </c>
      <c r="F58" s="10">
        <v>10.79</v>
      </c>
      <c r="G58">
        <v>1905700</v>
      </c>
      <c r="H58" s="10">
        <f>IF(tbl_LTHM[[#This Row],[Date]]=$A$5, $F58, EMA_Beta*$H57 + (1-EMA_Beta)*$F58)</f>
        <v>10.3898955404117</v>
      </c>
      <c r="I58" s="46">
        <f ca="1">IF(tbl_LTHM[[#This Row],[RS]]= "", "", 100-(100/(1+tbl_LTHM[[#This Row],[RS]])))</f>
        <v>43.55670103092784</v>
      </c>
      <c r="J58" s="10">
        <f ca="1">IF(ROW($N58)-4&lt;BB_Periods, "", AVERAGE(INDIRECT(ADDRESS(ROW($F58)-RSI_Periods +1, MATCH("Adj Close", Price_Header,0))): INDIRECT(ADDRESS(ROW($F58),MATCH("Adj Close", Price_Header,0)))))</f>
        <v>10.97857142857143</v>
      </c>
      <c r="K58" s="10">
        <f ca="1">IF(tbl_LTHM[[#This Row],[BB_Mean]]="", "", tbl_LTHM[[#This Row],[BB_Mean]]+(BB_Width*tbl_LTHM[[#This Row],[BB_Stdev]]))</f>
        <v>12.051851294370501</v>
      </c>
      <c r="L58" s="10">
        <f ca="1">IF(tbl_LTHM[[#This Row],[BB_Mean]]="", "", tbl_LTHM[[#This Row],[BB_Mean]]-(BB_Width*tbl_LTHM[[#This Row],[BB_Stdev]]))</f>
        <v>9.9052915627723586</v>
      </c>
      <c r="M58" s="46">
        <f>IF(ROW(tbl_LTHM[[#This Row],[Adj Close]])=5, 0, $F58-$F57)</f>
        <v>0.1899999999999995</v>
      </c>
      <c r="N58" s="46">
        <f>MAX(tbl_LTHM[[#This Row],[Move]],0)</f>
        <v>0.1899999999999995</v>
      </c>
      <c r="O58" s="46">
        <f>MAX(-tbl_LTHM[[#This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0.1207142857142858</v>
      </c>
      <c r="Q58" s="46">
        <f ca="1">IF(ROW($O58)-5&lt;RSI_Periods, "", AVERAGE(INDIRECT(ADDRESS(ROW($O58)-RSI_Periods +1, MATCH("Downmove", Price_Header,0))): INDIRECT(ADDRESS(ROW($O58),MATCH("Downmove", Price_Header,0)))))</f>
        <v>0.15642857142857153</v>
      </c>
      <c r="R58" s="46">
        <f ca="1">IF(tbl_LTHM[[#This Row],[Avg_Upmove]]="", "", tbl_LTHM[[#This Row],[Avg_Upmove]]/tbl_LTHM[[#This Row],[Avg_Downmove]])</f>
        <v>0.7716894977168951</v>
      </c>
      <c r="S58" s="10">
        <f ca="1">IF(ROW($N58)-4&lt;BB_Periods, "", _xlfn.STDEV.S(INDIRECT(ADDRESS(ROW($F58)-RSI_Periods +1, MATCH("Adj Close", Price_Header,0))): INDIRECT(ADDRESS(ROW($F58),MATCH("Adj Close", Price_Header,0)))))</f>
        <v>0.53663993289953515</v>
      </c>
    </row>
    <row r="59" spans="1:19" x14ac:dyDescent="0.35">
      <c r="A59" s="8">
        <v>44130</v>
      </c>
      <c r="B59" s="10">
        <v>10.5</v>
      </c>
      <c r="C59" s="10">
        <v>10.67</v>
      </c>
      <c r="D59" s="10">
        <v>10.23</v>
      </c>
      <c r="E59" s="10">
        <v>10.62</v>
      </c>
      <c r="F59" s="10">
        <v>10.62</v>
      </c>
      <c r="G59">
        <v>2076300</v>
      </c>
      <c r="H59" s="10">
        <f>IF(tbl_LTHM[[#This Row],[Date]]=$A$5, $F59, EMA_Beta*$H58 + (1-EMA_Beta)*$F59)</f>
        <v>10.41290598637053</v>
      </c>
      <c r="I59" s="46">
        <f ca="1">IF(tbl_LTHM[[#This Row],[RS]]= "", "", 100-(100/(1+tbl_LTHM[[#This Row],[RS]])))</f>
        <v>39.795918367346943</v>
      </c>
      <c r="J59" s="10">
        <f ca="1">IF(ROW($N59)-4&lt;BB_Periods, "", AVERAGE(INDIRECT(ADDRESS(ROW($F59)-RSI_Periods +1, MATCH("Adj Close", Price_Header,0))): INDIRECT(ADDRESS(ROW($F59),MATCH("Adj Close", Price_Header,0)))))</f>
        <v>10.921428571428573</v>
      </c>
      <c r="K59" s="10">
        <f ca="1">IF(tbl_LTHM[[#This Row],[BB_Mean]]="", "", tbl_LTHM[[#This Row],[BB_Mean]]+(BB_Width*tbl_LTHM[[#This Row],[BB_Stdev]]))</f>
        <v>11.97853222380526</v>
      </c>
      <c r="L59" s="10">
        <f ca="1">IF(tbl_LTHM[[#This Row],[BB_Mean]]="", "", tbl_LTHM[[#This Row],[BB_Mean]]-(BB_Width*tbl_LTHM[[#This Row],[BB_Stdev]]))</f>
        <v>9.8643249190518851</v>
      </c>
      <c r="M59" s="46">
        <f>IF(ROW(tbl_LTHM[[#This Row],[Adj Close]])=5, 0, $F59-$F58)</f>
        <v>-0.16999999999999993</v>
      </c>
      <c r="N59" s="46">
        <f>MAX(tbl_LTHM[[#This Row],[Move]],0)</f>
        <v>0</v>
      </c>
      <c r="O59" s="46">
        <f>MAX(-tbl_LTHM[[#This Row],[Move]],0)</f>
        <v>0.16999999999999993</v>
      </c>
      <c r="P59" s="46">
        <f ca="1">IF(ROW($N59)-5&lt;RSI_Periods, "", AVERAGE(INDIRECT(ADDRESS(ROW($N59)-RSI_Periods +1, MATCH("Upmove", Price_Header,0))): INDIRECT(ADDRESS(ROW($N59),MATCH("Upmove", Price_Header,0)))))</f>
        <v>0.11142857142857146</v>
      </c>
      <c r="Q59" s="46">
        <f ca="1">IF(ROW($O59)-5&lt;RSI_Periods, "", AVERAGE(INDIRECT(ADDRESS(ROW($O59)-RSI_Periods +1, MATCH("Downmove", Price_Header,0))): INDIRECT(ADDRESS(ROW($O59),MATCH("Downmove", Price_Header,0)))))</f>
        <v>0.16857142857142865</v>
      </c>
      <c r="R59" s="46">
        <f ca="1">IF(tbl_LTHM[[#This Row],[Avg_Upmove]]="", "", tbl_LTHM[[#This Row],[Avg_Upmove]]/tbl_LTHM[[#This Row],[Avg_Downmove]])</f>
        <v>0.66101694915254228</v>
      </c>
      <c r="S59" s="10">
        <f ca="1">IF(ROW($N59)-4&lt;BB_Periods, "", _xlfn.STDEV.S(INDIRECT(ADDRESS(ROW($F59)-RSI_Periods +1, MATCH("Adj Close", Price_Header,0))): INDIRECT(ADDRESS(ROW($F59),MATCH("Adj Close", Price_Header,0)))))</f>
        <v>0.52855182618834373</v>
      </c>
    </row>
    <row r="60" spans="1:19" x14ac:dyDescent="0.35">
      <c r="A60" s="8">
        <v>44131</v>
      </c>
      <c r="B60" s="10">
        <v>10.66</v>
      </c>
      <c r="C60" s="10">
        <v>10.91</v>
      </c>
      <c r="D60" s="10">
        <v>10.46</v>
      </c>
      <c r="E60" s="10">
        <v>10.57</v>
      </c>
      <c r="F60" s="10">
        <v>10.57</v>
      </c>
      <c r="G60">
        <v>2093800</v>
      </c>
      <c r="H60" s="10">
        <f>IF(tbl_LTHM[[#This Row],[Date]]=$A$5, $F60, EMA_Beta*$H59 + (1-EMA_Beta)*$F60)</f>
        <v>10.428615387733478</v>
      </c>
      <c r="I60" s="46">
        <f ca="1">IF(tbl_LTHM[[#This Row],[RS]]= "", "", 100-(100/(1+tbl_LTHM[[#This Row],[RS]])))</f>
        <v>29.532163742690045</v>
      </c>
      <c r="J60" s="10">
        <f ca="1">IF(ROW($N60)-4&lt;BB_Periods, "", AVERAGE(INDIRECT(ADDRESS(ROW($F60)-RSI_Periods +1, MATCH("Adj Close", Price_Header,0))): INDIRECT(ADDRESS(ROW($F60),MATCH("Adj Close", Price_Header,0)))))</f>
        <v>10.821428571428571</v>
      </c>
      <c r="K60" s="10">
        <f ca="1">IF(tbl_LTHM[[#This Row],[BB_Mean]]="", "", tbl_LTHM[[#This Row],[BB_Mean]]+(BB_Width*tbl_LTHM[[#This Row],[BB_Stdev]]))</f>
        <v>11.701248732872667</v>
      </c>
      <c r="L60" s="10">
        <f ca="1">IF(tbl_LTHM[[#This Row],[BB_Mean]]="", "", tbl_LTHM[[#This Row],[BB_Mean]]-(BB_Width*tbl_LTHM[[#This Row],[BB_Stdev]]))</f>
        <v>9.9416084099844753</v>
      </c>
      <c r="M60" s="46">
        <f>IF(ROW(tbl_LTHM[[#This Row],[Adj Close]])=5, 0, $F60-$F59)</f>
        <v>-4.9999999999998934E-2</v>
      </c>
      <c r="N60" s="46">
        <f>MAX(tbl_LTHM[[#This Row],[Move]],0)</f>
        <v>0</v>
      </c>
      <c r="O60" s="46">
        <f>MAX(-tbl_LTHM[[#This Row],[Move]],0)</f>
        <v>4.9999999999998934E-2</v>
      </c>
      <c r="P60" s="46">
        <f ca="1">IF(ROW($N60)-5&lt;RSI_Periods, "", AVERAGE(INDIRECT(ADDRESS(ROW($N60)-RSI_Periods +1, MATCH("Upmove", Price_Header,0))): INDIRECT(ADDRESS(ROW($N60),MATCH("Upmove", Price_Header,0)))))</f>
        <v>7.2142857142857134E-2</v>
      </c>
      <c r="Q60" s="46">
        <f ca="1">IF(ROW($O60)-5&lt;RSI_Periods, "", AVERAGE(INDIRECT(ADDRESS(ROW($O60)-RSI_Periods +1, MATCH("Downmove", Price_Header,0))): INDIRECT(ADDRESS(ROW($O60),MATCH("Downmove", Price_Header,0)))))</f>
        <v>0.17214285714285715</v>
      </c>
      <c r="R60" s="46">
        <f ca="1">IF(tbl_LTHM[[#This Row],[Avg_Upmove]]="", "", tbl_LTHM[[#This Row],[Avg_Upmove]]/tbl_LTHM[[#This Row],[Avg_Downmove]])</f>
        <v>0.41908713692946048</v>
      </c>
      <c r="S60" s="10">
        <f ca="1">IF(ROW($N60)-4&lt;BB_Periods, "", _xlfn.STDEV.S(INDIRECT(ADDRESS(ROW($F60)-RSI_Periods +1, MATCH("Adj Close", Price_Header,0))): INDIRECT(ADDRESS(ROW($F60),MATCH("Adj Close", Price_Header,0)))))</f>
        <v>0.4399100807220484</v>
      </c>
    </row>
    <row r="61" spans="1:19" x14ac:dyDescent="0.35">
      <c r="A61" s="8">
        <v>44132</v>
      </c>
      <c r="B61" s="10">
        <v>10.1</v>
      </c>
      <c r="C61" s="10">
        <v>10.29</v>
      </c>
      <c r="D61" s="10">
        <v>9.8800000000000008</v>
      </c>
      <c r="E61" s="10">
        <v>10.029999999999999</v>
      </c>
      <c r="F61" s="10">
        <v>10.029999999999999</v>
      </c>
      <c r="G61">
        <v>2281800</v>
      </c>
      <c r="H61" s="10">
        <f>IF(tbl_LTHM[[#This Row],[Date]]=$A$5, $F61, EMA_Beta*$H60 + (1-EMA_Beta)*$F61)</f>
        <v>10.38875384896013</v>
      </c>
      <c r="I61" s="46">
        <f ca="1">IF(tbl_LTHM[[#This Row],[RS]]= "", "", 100-(100/(1+tbl_LTHM[[#This Row],[RS]])))</f>
        <v>27.223719676549848</v>
      </c>
      <c r="J61" s="10">
        <f ca="1">IF(ROW($N61)-4&lt;BB_Periods, "", AVERAGE(INDIRECT(ADDRESS(ROW($F61)-RSI_Periods +1, MATCH("Adj Close", Price_Header,0))): INDIRECT(ADDRESS(ROW($F61),MATCH("Adj Close", Price_Header,0)))))</f>
        <v>10.700714285714286</v>
      </c>
      <c r="K61" s="10">
        <f ca="1">IF(tbl_LTHM[[#This Row],[BB_Mean]]="", "", tbl_LTHM[[#This Row],[BB_Mean]]+(BB_Width*tbl_LTHM[[#This Row],[BB_Stdev]]))</f>
        <v>11.510404227727772</v>
      </c>
      <c r="L61" s="10">
        <f ca="1">IF(tbl_LTHM[[#This Row],[BB_Mean]]="", "", tbl_LTHM[[#This Row],[BB_Mean]]-(BB_Width*tbl_LTHM[[#This Row],[BB_Stdev]]))</f>
        <v>9.8910243437007992</v>
      </c>
      <c r="M61" s="46">
        <f>IF(ROW(tbl_LTHM[[#This Row],[Adj Close]])=5, 0, $F61-$F60)</f>
        <v>-0.54000000000000092</v>
      </c>
      <c r="N61" s="46">
        <f>MAX(tbl_LTHM[[#This Row],[Move]],0)</f>
        <v>0</v>
      </c>
      <c r="O61" s="46">
        <f>MAX(-tbl_LTHM[[#This Row],[Move]],0)</f>
        <v>0.54000000000000092</v>
      </c>
      <c r="P61" s="46">
        <f ca="1">IF(ROW($N61)-5&lt;RSI_Periods, "", AVERAGE(INDIRECT(ADDRESS(ROW($N61)-RSI_Periods +1, MATCH("Upmove", Price_Header,0))): INDIRECT(ADDRESS(ROW($N61),MATCH("Upmove", Price_Header,0)))))</f>
        <v>7.2142857142857134E-2</v>
      </c>
      <c r="Q61" s="46">
        <f ca="1">IF(ROW($O61)-5&lt;RSI_Periods, "", AVERAGE(INDIRECT(ADDRESS(ROW($O61)-RSI_Periods +1, MATCH("Downmove", Price_Header,0))): INDIRECT(ADDRESS(ROW($O61),MATCH("Downmove", Price_Header,0)))))</f>
        <v>0.19285714285714292</v>
      </c>
      <c r="R61" s="46">
        <f ca="1">IF(tbl_LTHM[[#This Row],[Avg_Upmove]]="", "", tbl_LTHM[[#This Row],[Avg_Upmove]]/tbl_LTHM[[#This Row],[Avg_Downmove]])</f>
        <v>0.37407407407407389</v>
      </c>
      <c r="S61" s="10">
        <f ca="1">IF(ROW($N61)-4&lt;BB_Periods, "", _xlfn.STDEV.S(INDIRECT(ADDRESS(ROW($F61)-RSI_Periods +1, MATCH("Adj Close", Price_Header,0))): INDIRECT(ADDRESS(ROW($F61),MATCH("Adj Close", Price_Header,0)))))</f>
        <v>0.40484497100674294</v>
      </c>
    </row>
    <row r="62" spans="1:19" x14ac:dyDescent="0.35">
      <c r="A62" s="8">
        <v>44133</v>
      </c>
      <c r="B62" s="10">
        <v>10.050000000000001</v>
      </c>
      <c r="C62" s="10">
        <v>10.9</v>
      </c>
      <c r="D62" s="10">
        <v>9.92</v>
      </c>
      <c r="E62" s="10">
        <v>10.9</v>
      </c>
      <c r="F62" s="10">
        <v>10.9</v>
      </c>
      <c r="G62">
        <v>2088600</v>
      </c>
      <c r="H62" s="10">
        <f>IF(tbl_LTHM[[#This Row],[Date]]=$A$5, $F62, EMA_Beta*$H61 + (1-EMA_Beta)*$F62)</f>
        <v>10.439878464064117</v>
      </c>
      <c r="I62" s="46">
        <f ca="1">IF(tbl_LTHM[[#This Row],[RS]]= "", "", 100-(100/(1+tbl_LTHM[[#This Row],[RS]])))</f>
        <v>43.822843822843836</v>
      </c>
      <c r="J62" s="10">
        <f ca="1">IF(ROW($N62)-4&lt;BB_Periods, "", AVERAGE(INDIRECT(ADDRESS(ROW($F62)-RSI_Periods +1, MATCH("Adj Close", Price_Header,0))): INDIRECT(ADDRESS(ROW($F62),MATCH("Adj Close", Price_Header,0)))))</f>
        <v>10.662857142857144</v>
      </c>
      <c r="K62" s="10">
        <f ca="1">IF(tbl_LTHM[[#This Row],[BB_Mean]]="", "", tbl_LTHM[[#This Row],[BB_Mean]]+(BB_Width*tbl_LTHM[[#This Row],[BB_Stdev]]))</f>
        <v>11.368545179028654</v>
      </c>
      <c r="L62" s="10">
        <f ca="1">IF(tbl_LTHM[[#This Row],[BB_Mean]]="", "", tbl_LTHM[[#This Row],[BB_Mean]]-(BB_Width*tbl_LTHM[[#This Row],[BB_Stdev]]))</f>
        <v>9.9571691066856332</v>
      </c>
      <c r="M62" s="46">
        <f>IF(ROW(tbl_LTHM[[#This Row],[Adj Close]])=5, 0, $F62-$F61)</f>
        <v>0.87000000000000099</v>
      </c>
      <c r="N62" s="46">
        <f>MAX(tbl_LTHM[[#This Row],[Move]],0)</f>
        <v>0.87000000000000099</v>
      </c>
      <c r="O62" s="46">
        <f>MAX(-tbl_LTHM[[#This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0.13428571428571434</v>
      </c>
      <c r="Q62" s="46">
        <f ca="1">IF(ROW($O62)-5&lt;RSI_Periods, "", AVERAGE(INDIRECT(ADDRESS(ROW($O62)-RSI_Periods +1, MATCH("Downmove", Price_Header,0))): INDIRECT(ADDRESS(ROW($O62),MATCH("Downmove", Price_Header,0)))))</f>
        <v>0.17214285714285715</v>
      </c>
      <c r="R62" s="46">
        <f ca="1">IF(tbl_LTHM[[#This Row],[Avg_Upmove]]="", "", tbl_LTHM[[#This Row],[Avg_Upmove]]/tbl_LTHM[[#This Row],[Avg_Downmove]])</f>
        <v>0.78008298755186745</v>
      </c>
      <c r="S62" s="10">
        <f ca="1">IF(ROW($N62)-4&lt;BB_Periods, "", _xlfn.STDEV.S(INDIRECT(ADDRESS(ROW($F62)-RSI_Periods +1, MATCH("Adj Close", Price_Header,0))): INDIRECT(ADDRESS(ROW($F62),MATCH("Adj Close", Price_Header,0)))))</f>
        <v>0.35284401808575572</v>
      </c>
    </row>
    <row r="63" spans="1:19" x14ac:dyDescent="0.35">
      <c r="A63" s="8">
        <v>44134</v>
      </c>
      <c r="B63" s="10">
        <v>10.79</v>
      </c>
      <c r="C63" s="10">
        <v>11.07</v>
      </c>
      <c r="D63" s="10">
        <v>10.5</v>
      </c>
      <c r="E63" s="10">
        <v>10.75</v>
      </c>
      <c r="F63" s="10">
        <v>10.75</v>
      </c>
      <c r="G63">
        <v>2182300</v>
      </c>
      <c r="H63" s="10">
        <f>IF(tbl_LTHM[[#This Row],[Date]]=$A$5, $F63, EMA_Beta*$H62 + (1-EMA_Beta)*$F63)</f>
        <v>10.470890617657705</v>
      </c>
      <c r="I63" s="46">
        <f ca="1">IF(tbl_LTHM[[#This Row],[RS]]= "", "", 100-(100/(1+tbl_LTHM[[#This Row],[RS]])))</f>
        <v>46.078431372549019</v>
      </c>
      <c r="J63" s="10">
        <f ca="1">IF(ROW($N63)-4&lt;BB_Periods, "", AVERAGE(INDIRECT(ADDRESS(ROW($F63)-RSI_Periods +1, MATCH("Adj Close", Price_Header,0))): INDIRECT(ADDRESS(ROW($F63),MATCH("Adj Close", Price_Header,0)))))</f>
        <v>10.64</v>
      </c>
      <c r="K63" s="10">
        <f ca="1">IF(tbl_LTHM[[#This Row],[BB_Mean]]="", "", tbl_LTHM[[#This Row],[BB_Mean]]+(BB_Width*tbl_LTHM[[#This Row],[BB_Stdev]]))</f>
        <v>11.308638110697352</v>
      </c>
      <c r="L63" s="10">
        <f ca="1">IF(tbl_LTHM[[#This Row],[BB_Mean]]="", "", tbl_LTHM[[#This Row],[BB_Mean]]-(BB_Width*tbl_LTHM[[#This Row],[BB_Stdev]]))</f>
        <v>9.9713618893026492</v>
      </c>
      <c r="M63" s="46">
        <f>IF(ROW(tbl_LTHM[[#This Row],[Adj Close]])=5, 0, $F63-$F62)</f>
        <v>-0.15000000000000036</v>
      </c>
      <c r="N63" s="46">
        <f>MAX(tbl_LTHM[[#This Row],[Move]],0)</f>
        <v>0</v>
      </c>
      <c r="O63" s="46">
        <f>MAX(-tbl_LTHM[[#This Row],[Move]],0)</f>
        <v>0.15000000000000036</v>
      </c>
      <c r="P63" s="46">
        <f ca="1">IF(ROW($N63)-5&lt;RSI_Periods, "", AVERAGE(INDIRECT(ADDRESS(ROW($N63)-RSI_Periods +1, MATCH("Upmove", Price_Header,0))): INDIRECT(ADDRESS(ROW($N63),MATCH("Upmove", Price_Header,0)))))</f>
        <v>0.13428571428571434</v>
      </c>
      <c r="Q63" s="46">
        <f ca="1">IF(ROW($O63)-5&lt;RSI_Periods, "", AVERAGE(INDIRECT(ADDRESS(ROW($O63)-RSI_Periods +1, MATCH("Downmove", Price_Header,0))): INDIRECT(ADDRESS(ROW($O63),MATCH("Downmove", Price_Header,0)))))</f>
        <v>0.15714285714285722</v>
      </c>
      <c r="R63" s="46">
        <f ca="1">IF(tbl_LTHM[[#This Row],[Avg_Upmove]]="", "", tbl_LTHM[[#This Row],[Avg_Upmove]]/tbl_LTHM[[#This Row],[Avg_Downmove]])</f>
        <v>0.8545454545454545</v>
      </c>
      <c r="S63" s="10">
        <f ca="1">IF(ROW($N63)-4&lt;BB_Periods, "", _xlfn.STDEV.S(INDIRECT(ADDRESS(ROW($F63)-RSI_Periods +1, MATCH("Adj Close", Price_Header,0))): INDIRECT(ADDRESS(ROW($F63),MATCH("Adj Close", Price_Header,0)))))</f>
        <v>0.33431905534867551</v>
      </c>
    </row>
    <row r="64" spans="1:19" x14ac:dyDescent="0.35">
      <c r="A64" s="8">
        <v>44137</v>
      </c>
      <c r="B64" s="10">
        <v>10.85</v>
      </c>
      <c r="C64" s="10">
        <v>11.5</v>
      </c>
      <c r="D64" s="10">
        <v>10.85</v>
      </c>
      <c r="E64" s="10">
        <v>11.32</v>
      </c>
      <c r="F64" s="10">
        <v>11.32</v>
      </c>
      <c r="G64">
        <v>2800200</v>
      </c>
      <c r="H64" s="10">
        <f>IF(tbl_LTHM[[#This Row],[Date]]=$A$5, $F64, EMA_Beta*$H63 + (1-EMA_Beta)*$F64)</f>
        <v>10.555801555891934</v>
      </c>
      <c r="I64" s="46">
        <f ca="1">IF(tbl_LTHM[[#This Row],[RS]]= "", "", 100-(100/(1+tbl_LTHM[[#This Row],[RS]])))</f>
        <v>53.376906318082796</v>
      </c>
      <c r="J64" s="10">
        <f ca="1">IF(ROW($N64)-4&lt;BB_Periods, "", AVERAGE(INDIRECT(ADDRESS(ROW($F64)-RSI_Periods +1, MATCH("Adj Close", Price_Header,0))): INDIRECT(ADDRESS(ROW($F64),MATCH("Adj Close", Price_Header,0)))))</f>
        <v>10.662142857142856</v>
      </c>
      <c r="K64" s="10">
        <f ca="1">IF(tbl_LTHM[[#This Row],[BB_Mean]]="", "", tbl_LTHM[[#This Row],[BB_Mean]]+(BB_Width*tbl_LTHM[[#This Row],[BB_Stdev]]))</f>
        <v>11.400464386910667</v>
      </c>
      <c r="L64" s="10">
        <f ca="1">IF(tbl_LTHM[[#This Row],[BB_Mean]]="", "", tbl_LTHM[[#This Row],[BB_Mean]]-(BB_Width*tbl_LTHM[[#This Row],[BB_Stdev]]))</f>
        <v>9.9238213273750446</v>
      </c>
      <c r="M64" s="46">
        <f>IF(ROW(tbl_LTHM[[#This Row],[Adj Close]])=5, 0, $F64-$F63)</f>
        <v>0.57000000000000028</v>
      </c>
      <c r="N64" s="46">
        <f>MAX(tbl_LTHM[[#This Row],[Move]],0)</f>
        <v>0.57000000000000028</v>
      </c>
      <c r="O64" s="46">
        <f>MAX(-tbl_LTHM[[#This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0.17500000000000007</v>
      </c>
      <c r="Q64" s="46">
        <f ca="1">IF(ROW($O64)-5&lt;RSI_Periods, "", AVERAGE(INDIRECT(ADDRESS(ROW($O64)-RSI_Periods +1, MATCH("Downmove", Price_Header,0))): INDIRECT(ADDRESS(ROW($O64),MATCH("Downmove", Price_Header,0)))))</f>
        <v>0.15285714285714289</v>
      </c>
      <c r="R64" s="46">
        <f ca="1">IF(tbl_LTHM[[#This Row],[Avg_Upmove]]="", "", tbl_LTHM[[#This Row],[Avg_Upmove]]/tbl_LTHM[[#This Row],[Avg_Downmove]])</f>
        <v>1.1448598130841123</v>
      </c>
      <c r="S64" s="10">
        <f ca="1">IF(ROW($N64)-4&lt;BB_Periods, "", _xlfn.STDEV.S(INDIRECT(ADDRESS(ROW($F64)-RSI_Periods +1, MATCH("Adj Close", Price_Header,0))): INDIRECT(ADDRESS(ROW($F64),MATCH("Adj Close", Price_Header,0)))))</f>
        <v>0.36916076488390576</v>
      </c>
    </row>
    <row r="65" spans="1:19" x14ac:dyDescent="0.35">
      <c r="A65" s="8">
        <v>44138</v>
      </c>
      <c r="B65" s="10">
        <v>11.58</v>
      </c>
      <c r="C65" s="10">
        <v>11.85</v>
      </c>
      <c r="D65" s="10">
        <v>11.27</v>
      </c>
      <c r="E65" s="10">
        <v>11.58</v>
      </c>
      <c r="F65" s="10">
        <v>11.58</v>
      </c>
      <c r="G65">
        <v>3022600</v>
      </c>
      <c r="H65" s="10">
        <f>IF(tbl_LTHM[[#This Row],[Date]]=$A$5, $F65, EMA_Beta*$H64 + (1-EMA_Beta)*$F65)</f>
        <v>10.65822140030274</v>
      </c>
      <c r="I65" s="46">
        <f ca="1">IF(tbl_LTHM[[#This Row],[RS]]= "", "", 100-(100/(1+tbl_LTHM[[#This Row],[RS]])))</f>
        <v>55.991735537190081</v>
      </c>
      <c r="J65" s="10">
        <f ca="1">IF(ROW($N65)-4&lt;BB_Periods, "", AVERAGE(INDIRECT(ADDRESS(ROW($F65)-RSI_Periods +1, MATCH("Adj Close", Price_Header,0))): INDIRECT(ADDRESS(ROW($F65),MATCH("Adj Close", Price_Header,0)))))</f>
        <v>10.703571428571431</v>
      </c>
      <c r="K65" s="10">
        <f ca="1">IF(tbl_LTHM[[#This Row],[BB_Mean]]="", "", tbl_LTHM[[#This Row],[BB_Mean]]+(BB_Width*tbl_LTHM[[#This Row],[BB_Stdev]]))</f>
        <v>11.576395567801081</v>
      </c>
      <c r="L65" s="10">
        <f ca="1">IF(tbl_LTHM[[#This Row],[BB_Mean]]="", "", tbl_LTHM[[#This Row],[BB_Mean]]-(BB_Width*tbl_LTHM[[#This Row],[BB_Stdev]]))</f>
        <v>9.8307472893417813</v>
      </c>
      <c r="M65" s="46">
        <f>IF(ROW(tbl_LTHM[[#This Row],[Adj Close]])=5, 0, $F65-$F64)</f>
        <v>0.25999999999999979</v>
      </c>
      <c r="N65" s="46">
        <f>MAX(tbl_LTHM[[#This Row],[Move]],0)</f>
        <v>0.25999999999999979</v>
      </c>
      <c r="O65" s="46">
        <f>MAX(-tbl_LTHM[[#This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0.19357142857142864</v>
      </c>
      <c r="Q65" s="46">
        <f ca="1">IF(ROW($O65)-5&lt;RSI_Periods, "", AVERAGE(INDIRECT(ADDRESS(ROW($O65)-RSI_Periods +1, MATCH("Downmove", Price_Header,0))): INDIRECT(ADDRESS(ROW($O65),MATCH("Downmove", Price_Header,0)))))</f>
        <v>0.15214285714285719</v>
      </c>
      <c r="R65" s="46">
        <f ca="1">IF(tbl_LTHM[[#This Row],[Avg_Upmove]]="", "", tbl_LTHM[[#This Row],[Avg_Upmove]]/tbl_LTHM[[#This Row],[Avg_Downmove]])</f>
        <v>1.2723004694835682</v>
      </c>
      <c r="S65" s="10">
        <f ca="1">IF(ROW($N65)-4&lt;BB_Periods, "", _xlfn.STDEV.S(INDIRECT(ADDRESS(ROW($F65)-RSI_Periods +1, MATCH("Adj Close", Price_Header,0))): INDIRECT(ADDRESS(ROW($F65),MATCH("Adj Close", Price_Header,0)))))</f>
        <v>0.43641206961482465</v>
      </c>
    </row>
    <row r="66" spans="1:19" x14ac:dyDescent="0.35">
      <c r="A66" s="8">
        <v>44139</v>
      </c>
      <c r="B66" s="10">
        <v>11.46</v>
      </c>
      <c r="C66" s="10">
        <v>11.52</v>
      </c>
      <c r="D66" s="10">
        <v>10.52</v>
      </c>
      <c r="E66" s="10">
        <v>11.16</v>
      </c>
      <c r="F66" s="10">
        <v>11.16</v>
      </c>
      <c r="G66">
        <v>3368200</v>
      </c>
      <c r="H66" s="10">
        <f>IF(tbl_LTHM[[#This Row],[Date]]=$A$5, $F66, EMA_Beta*$H65 + (1-EMA_Beta)*$F66)</f>
        <v>10.708399260272465</v>
      </c>
      <c r="I66" s="46">
        <f ca="1">IF(tbl_LTHM[[#This Row],[RS]]= "", "", 100-(100/(1+tbl_LTHM[[#This Row],[RS]])))</f>
        <v>51.816443594646266</v>
      </c>
      <c r="J66" s="10">
        <f ca="1">IF(ROW($N66)-4&lt;BB_Periods, "", AVERAGE(INDIRECT(ADDRESS(ROW($F66)-RSI_Periods +1, MATCH("Adj Close", Price_Header,0))): INDIRECT(ADDRESS(ROW($F66),MATCH("Adj Close", Price_Header,0)))))</f>
        <v>10.717142857142859</v>
      </c>
      <c r="K66" s="10">
        <f ca="1">IF(tbl_LTHM[[#This Row],[BB_Mean]]="", "", tbl_LTHM[[#This Row],[BB_Mean]]+(BB_Width*tbl_LTHM[[#This Row],[BB_Stdev]]))</f>
        <v>11.613406162253535</v>
      </c>
      <c r="L66" s="10">
        <f ca="1">IF(tbl_LTHM[[#This Row],[BB_Mean]]="", "", tbl_LTHM[[#This Row],[BB_Mean]]-(BB_Width*tbl_LTHM[[#This Row],[BB_Stdev]]))</f>
        <v>9.8208795520321832</v>
      </c>
      <c r="M66" s="46">
        <f>IF(ROW(tbl_LTHM[[#This Row],[Adj Close]])=5, 0, $F66-$F65)</f>
        <v>-0.41999999999999993</v>
      </c>
      <c r="N66" s="46">
        <f>MAX(tbl_LTHM[[#This Row],[Move]],0)</f>
        <v>0</v>
      </c>
      <c r="O66" s="46">
        <f>MAX(-tbl_LTHM[[#This Row],[Move]],0)</f>
        <v>0.41999999999999993</v>
      </c>
      <c r="P66" s="46">
        <f ca="1">IF(ROW($N66)-5&lt;RSI_Periods, "", AVERAGE(INDIRECT(ADDRESS(ROW($N66)-RSI_Periods +1, MATCH("Upmove", Price_Header,0))): INDIRECT(ADDRESS(ROW($N66),MATCH("Upmove", Price_Header,0)))))</f>
        <v>0.19357142857142864</v>
      </c>
      <c r="Q66" s="46">
        <f ca="1">IF(ROW($O66)-5&lt;RSI_Periods, "", AVERAGE(INDIRECT(ADDRESS(ROW($O66)-RSI_Periods +1, MATCH("Downmove", Price_Header,0))): INDIRECT(ADDRESS(ROW($O66),MATCH("Downmove", Price_Header,0)))))</f>
        <v>0.1800000000000001</v>
      </c>
      <c r="R66" s="46">
        <f ca="1">IF(tbl_LTHM[[#This Row],[Avg_Upmove]]="", "", tbl_LTHM[[#This Row],[Avg_Upmove]]/tbl_LTHM[[#This Row],[Avg_Downmove]])</f>
        <v>1.0753968253968251</v>
      </c>
      <c r="S66" s="10">
        <f ca="1">IF(ROW($N66)-4&lt;BB_Periods, "", _xlfn.STDEV.S(INDIRECT(ADDRESS(ROW($F66)-RSI_Periods +1, MATCH("Adj Close", Price_Header,0))): INDIRECT(ADDRESS(ROW($F66),MATCH("Adj Close", Price_Header,0)))))</f>
        <v>0.44813165255533782</v>
      </c>
    </row>
    <row r="67" spans="1:19" x14ac:dyDescent="0.35">
      <c r="A67" s="8">
        <v>44140</v>
      </c>
      <c r="B67" s="10">
        <v>11.6</v>
      </c>
      <c r="C67" s="10">
        <v>12.45</v>
      </c>
      <c r="D67" s="10">
        <v>11.4</v>
      </c>
      <c r="E67" s="10">
        <v>11.85</v>
      </c>
      <c r="F67" s="10">
        <v>11.85</v>
      </c>
      <c r="G67">
        <v>6537000</v>
      </c>
      <c r="H67" s="10">
        <f>IF(tbl_LTHM[[#This Row],[Date]]=$A$5, $F67, EMA_Beta*$H66 + (1-EMA_Beta)*$F67)</f>
        <v>10.82255933424522</v>
      </c>
      <c r="I67" s="46">
        <f ca="1">IF(tbl_LTHM[[#This Row],[RS]]= "", "", 100-(100/(1+tbl_LTHM[[#This Row],[RS]])))</f>
        <v>65.891472868217022</v>
      </c>
      <c r="J67" s="10">
        <f ca="1">IF(ROW($N67)-4&lt;BB_Periods, "", AVERAGE(INDIRECT(ADDRESS(ROW($F67)-RSI_Periods +1, MATCH("Adj Close", Price_Header,0))): INDIRECT(ADDRESS(ROW($F67),MATCH("Adj Close", Price_Header,0)))))</f>
        <v>10.834285714285715</v>
      </c>
      <c r="K67" s="10">
        <f ca="1">IF(tbl_LTHM[[#This Row],[BB_Mean]]="", "", tbl_LTHM[[#This Row],[BB_Mean]]+(BB_Width*tbl_LTHM[[#This Row],[BB_Stdev]]))</f>
        <v>11.863810303171711</v>
      </c>
      <c r="L67" s="10">
        <f ca="1">IF(tbl_LTHM[[#This Row],[BB_Mean]]="", "", tbl_LTHM[[#This Row],[BB_Mean]]-(BB_Width*tbl_LTHM[[#This Row],[BB_Stdev]]))</f>
        <v>9.8047611253997182</v>
      </c>
      <c r="M67" s="46">
        <f>IF(ROW(tbl_LTHM[[#This Row],[Adj Close]])=5, 0, $F67-$F66)</f>
        <v>0.6899999999999995</v>
      </c>
      <c r="N67" s="46">
        <f>MAX(tbl_LTHM[[#This Row],[Move]],0)</f>
        <v>0.6899999999999995</v>
      </c>
      <c r="O67" s="46">
        <f>MAX(-tbl_LTHM[[#This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0.24285714285714288</v>
      </c>
      <c r="Q67" s="46">
        <f ca="1">IF(ROW($O67)-5&lt;RSI_Periods, "", AVERAGE(INDIRECT(ADDRESS(ROW($O67)-RSI_Periods +1, MATCH("Downmove", Price_Header,0))): INDIRECT(ADDRESS(ROW($O67),MATCH("Downmove", Price_Header,0)))))</f>
        <v>0.12571428571428583</v>
      </c>
      <c r="R67" s="46">
        <f ca="1">IF(tbl_LTHM[[#This Row],[Avg_Upmove]]="", "", tbl_LTHM[[#This Row],[Avg_Upmove]]/tbl_LTHM[[#This Row],[Avg_Downmove]])</f>
        <v>1.9318181818181801</v>
      </c>
      <c r="S67" s="10">
        <f ca="1">IF(ROW($N67)-4&lt;BB_Periods, "", _xlfn.STDEV.S(INDIRECT(ADDRESS(ROW($F67)-RSI_Periods +1, MATCH("Adj Close", Price_Header,0))): INDIRECT(ADDRESS(ROW($F67),MATCH("Adj Close", Price_Header,0)))))</f>
        <v>0.51476229444299804</v>
      </c>
    </row>
    <row r="68" spans="1:19" x14ac:dyDescent="0.35">
      <c r="A68" s="8">
        <v>44141</v>
      </c>
      <c r="B68" s="10">
        <v>11.9</v>
      </c>
      <c r="C68" s="10">
        <v>13.95</v>
      </c>
      <c r="D68" s="10">
        <v>11.54</v>
      </c>
      <c r="E68" s="10">
        <v>13.65</v>
      </c>
      <c r="F68" s="10">
        <v>13.65</v>
      </c>
      <c r="G68">
        <v>12386000</v>
      </c>
      <c r="H68" s="10">
        <f>IF(tbl_LTHM[[#This Row],[Date]]=$A$5, $F68, EMA_Beta*$H67 + (1-EMA_Beta)*$F68)</f>
        <v>11.105303400820699</v>
      </c>
      <c r="I68" s="46">
        <f ca="1">IF(tbl_LTHM[[#This Row],[RS]]= "", "", 100-(100/(1+tbl_LTHM[[#This Row],[RS]])))</f>
        <v>75.36231884057969</v>
      </c>
      <c r="J68" s="10">
        <f ca="1">IF(ROW($N68)-4&lt;BB_Periods, "", AVERAGE(INDIRECT(ADDRESS(ROW($F68)-RSI_Periods +1, MATCH("Adj Close", Price_Header,0))): INDIRECT(ADDRESS(ROW($F68),MATCH("Adj Close", Price_Header,0)))))</f>
        <v>11.084285714285715</v>
      </c>
      <c r="K68" s="10">
        <f ca="1">IF(tbl_LTHM[[#This Row],[BB_Mean]]="", "", tbl_LTHM[[#This Row],[BB_Mean]]+(BB_Width*tbl_LTHM[[#This Row],[BB_Stdev]]))</f>
        <v>12.841008437220307</v>
      </c>
      <c r="L68" s="10">
        <f ca="1">IF(tbl_LTHM[[#This Row],[BB_Mean]]="", "", tbl_LTHM[[#This Row],[BB_Mean]]-(BB_Width*tbl_LTHM[[#This Row],[BB_Stdev]]))</f>
        <v>9.3275629913511224</v>
      </c>
      <c r="M68" s="46">
        <f>IF(ROW(tbl_LTHM[[#This Row],[Adj Close]])=5, 0, $F68-$F67)</f>
        <v>1.8000000000000007</v>
      </c>
      <c r="N68" s="46">
        <f>MAX(tbl_LTHM[[#This Row],[Move]],0)</f>
        <v>1.8000000000000007</v>
      </c>
      <c r="O68" s="46">
        <f>MAX(-tbl_LTHM[[#This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0.3714285714285715</v>
      </c>
      <c r="Q68" s="46">
        <f ca="1">IF(ROW($O68)-5&lt;RSI_Periods, "", AVERAGE(INDIRECT(ADDRESS(ROW($O68)-RSI_Periods +1, MATCH("Downmove", Price_Header,0))): INDIRECT(ADDRESS(ROW($O68),MATCH("Downmove", Price_Header,0)))))</f>
        <v>0.12142857142857151</v>
      </c>
      <c r="R68" s="46">
        <f ca="1">IF(tbl_LTHM[[#This Row],[Avg_Upmove]]="", "", tbl_LTHM[[#This Row],[Avg_Upmove]]/tbl_LTHM[[#This Row],[Avg_Downmove]])</f>
        <v>3.0588235294117632</v>
      </c>
      <c r="S68" s="10">
        <f ca="1">IF(ROW($N68)-4&lt;BB_Periods, "", _xlfn.STDEV.S(INDIRECT(ADDRESS(ROW($F68)-RSI_Periods +1, MATCH("Adj Close", Price_Header,0))): INDIRECT(ADDRESS(ROW($F68),MATCH("Adj Close", Price_Header,0)))))</f>
        <v>0.87836136146729593</v>
      </c>
    </row>
    <row r="69" spans="1:19" x14ac:dyDescent="0.35">
      <c r="A69" s="8">
        <v>44144</v>
      </c>
      <c r="B69" s="10">
        <v>15.16</v>
      </c>
      <c r="C69" s="10">
        <v>15.5</v>
      </c>
      <c r="D69" s="10">
        <v>13.25</v>
      </c>
      <c r="E69" s="10">
        <v>13.59</v>
      </c>
      <c r="F69" s="10">
        <v>13.59</v>
      </c>
      <c r="G69">
        <v>6739100</v>
      </c>
      <c r="H69" s="10">
        <f>IF(tbl_LTHM[[#This Row],[Date]]=$A$5, $F69, EMA_Beta*$H68 + (1-EMA_Beta)*$F69)</f>
        <v>11.353773060738629</v>
      </c>
      <c r="I69" s="46">
        <f ca="1">IF(tbl_LTHM[[#This Row],[RS]]= "", "", 100-(100/(1+tbl_LTHM[[#This Row],[RS]])))</f>
        <v>73.809523809523796</v>
      </c>
      <c r="J69" s="10">
        <f ca="1">IF(ROW($N69)-4&lt;BB_Periods, "", AVERAGE(INDIRECT(ADDRESS(ROW($F69)-RSI_Periods +1, MATCH("Adj Close", Price_Header,0))): INDIRECT(ADDRESS(ROW($F69),MATCH("Adj Close", Price_Header,0)))))</f>
        <v>11.312857142857144</v>
      </c>
      <c r="K69" s="10">
        <f ca="1">IF(tbl_LTHM[[#This Row],[BB_Mean]]="", "", tbl_LTHM[[#This Row],[BB_Mean]]+(BB_Width*tbl_LTHM[[#This Row],[BB_Stdev]]))</f>
        <v>13.467985960301759</v>
      </c>
      <c r="L69" s="10">
        <f ca="1">IF(tbl_LTHM[[#This Row],[BB_Mean]]="", "", tbl_LTHM[[#This Row],[BB_Mean]]-(BB_Width*tbl_LTHM[[#This Row],[BB_Stdev]]))</f>
        <v>9.1577283254125295</v>
      </c>
      <c r="M69" s="46">
        <f>IF(ROW(tbl_LTHM[[#This Row],[Adj Close]])=5, 0, $F69-$F68)</f>
        <v>-6.0000000000000497E-2</v>
      </c>
      <c r="N69" s="46">
        <f>MAX(tbl_LTHM[[#This Row],[Move]],0)</f>
        <v>0</v>
      </c>
      <c r="O69" s="46">
        <f>MAX(-tbl_LTHM[[#This Row],[Move]],0)</f>
        <v>6.0000000000000497E-2</v>
      </c>
      <c r="P69" s="46">
        <f ca="1">IF(ROW($N69)-5&lt;RSI_Periods, "", AVERAGE(INDIRECT(ADDRESS(ROW($N69)-RSI_Periods +1, MATCH("Upmove", Price_Header,0))): INDIRECT(ADDRESS(ROW($N69),MATCH("Upmove", Price_Header,0)))))</f>
        <v>0.35428571428571437</v>
      </c>
      <c r="Q69" s="46">
        <f ca="1">IF(ROW($O69)-5&lt;RSI_Periods, "", AVERAGE(INDIRECT(ADDRESS(ROW($O69)-RSI_Periods +1, MATCH("Downmove", Price_Header,0))): INDIRECT(ADDRESS(ROW($O69),MATCH("Downmove", Price_Header,0)))))</f>
        <v>0.12571428571428583</v>
      </c>
      <c r="R69" s="46">
        <f ca="1">IF(tbl_LTHM[[#This Row],[Avg_Upmove]]="", "", tbl_LTHM[[#This Row],[Avg_Upmove]]/tbl_LTHM[[#This Row],[Avg_Downmove]])</f>
        <v>2.8181818181818161</v>
      </c>
      <c r="S69" s="10">
        <f ca="1">IF(ROW($N69)-4&lt;BB_Periods, "", _xlfn.STDEV.S(INDIRECT(ADDRESS(ROW($F69)-RSI_Periods +1, MATCH("Adj Close", Price_Header,0))): INDIRECT(ADDRESS(ROW($F69),MATCH("Adj Close", Price_Header,0)))))</f>
        <v>1.0775644087223071</v>
      </c>
    </row>
    <row r="70" spans="1:19" x14ac:dyDescent="0.35">
      <c r="A70" s="8">
        <v>44145</v>
      </c>
      <c r="B70" s="10">
        <v>13.44</v>
      </c>
      <c r="C70" s="10">
        <v>13.49</v>
      </c>
      <c r="D70" s="10">
        <v>12.13</v>
      </c>
      <c r="E70" s="10">
        <v>13.05</v>
      </c>
      <c r="F70" s="10">
        <v>13.05</v>
      </c>
      <c r="G70">
        <v>4434900</v>
      </c>
      <c r="H70" s="10">
        <f>IF(tbl_LTHM[[#This Row],[Date]]=$A$5, $F70, EMA_Beta*$H69 + (1-EMA_Beta)*$F70)</f>
        <v>11.523395754664765</v>
      </c>
      <c r="I70" s="46">
        <f ca="1">IF(tbl_LTHM[[#This Row],[RS]]= "", "", 100-(100/(1+tbl_LTHM[[#This Row],[RS]])))</f>
        <v>65.568862275449106</v>
      </c>
      <c r="J70" s="10">
        <f ca="1">IF(ROW($N70)-4&lt;BB_Periods, "", AVERAGE(INDIRECT(ADDRESS(ROW($F70)-RSI_Periods +1, MATCH("Adj Close", Price_Header,0))): INDIRECT(ADDRESS(ROW($F70),MATCH("Adj Close", Price_Header,0)))))</f>
        <v>11.46142857142857</v>
      </c>
      <c r="K70" s="10">
        <f ca="1">IF(tbl_LTHM[[#This Row],[BB_Mean]]="", "", tbl_LTHM[[#This Row],[BB_Mean]]+(BB_Width*tbl_LTHM[[#This Row],[BB_Stdev]]))</f>
        <v>13.794203177479778</v>
      </c>
      <c r="L70" s="10">
        <f ca="1">IF(tbl_LTHM[[#This Row],[BB_Mean]]="", "", tbl_LTHM[[#This Row],[BB_Mean]]-(BB_Width*tbl_LTHM[[#This Row],[BB_Stdev]]))</f>
        <v>9.128653965377362</v>
      </c>
      <c r="M70" s="46">
        <f>IF(ROW(tbl_LTHM[[#This Row],[Adj Close]])=5, 0, $F70-$F69)</f>
        <v>-0.53999999999999915</v>
      </c>
      <c r="N70" s="46">
        <f>MAX(tbl_LTHM[[#This Row],[Move]],0)</f>
        <v>0</v>
      </c>
      <c r="O70" s="46">
        <f>MAX(-tbl_LTHM[[#This Row],[Move]],0)</f>
        <v>0.53999999999999915</v>
      </c>
      <c r="P70" s="46">
        <f ca="1">IF(ROW($N70)-5&lt;RSI_Periods, "", AVERAGE(INDIRECT(ADDRESS(ROW($N70)-RSI_Periods +1, MATCH("Upmove", Price_Header,0))): INDIRECT(ADDRESS(ROW($N70),MATCH("Upmove", Price_Header,0)))))</f>
        <v>0.31285714285714289</v>
      </c>
      <c r="Q70" s="46">
        <f ca="1">IF(ROW($O70)-5&lt;RSI_Periods, "", AVERAGE(INDIRECT(ADDRESS(ROW($O70)-RSI_Periods +1, MATCH("Downmove", Price_Header,0))): INDIRECT(ADDRESS(ROW($O70),MATCH("Downmove", Price_Header,0)))))</f>
        <v>0.16428571428571434</v>
      </c>
      <c r="R70" s="46">
        <f ca="1">IF(tbl_LTHM[[#This Row],[Avg_Upmove]]="", "", tbl_LTHM[[#This Row],[Avg_Upmove]]/tbl_LTHM[[#This Row],[Avg_Downmove]])</f>
        <v>1.9043478260869562</v>
      </c>
      <c r="S70" s="10">
        <f ca="1">IF(ROW($N70)-4&lt;BB_Periods, "", _xlfn.STDEV.S(INDIRECT(ADDRESS(ROW($F70)-RSI_Periods +1, MATCH("Adj Close", Price_Header,0))): INDIRECT(ADDRESS(ROW($F70),MATCH("Adj Close", Price_Header,0)))))</f>
        <v>1.1663873030256038</v>
      </c>
    </row>
    <row r="71" spans="1:19" x14ac:dyDescent="0.35">
      <c r="A71" s="8">
        <v>44146</v>
      </c>
      <c r="B71" s="10">
        <v>13.42</v>
      </c>
      <c r="C71" s="10">
        <v>13.69</v>
      </c>
      <c r="D71" s="10">
        <v>12.8</v>
      </c>
      <c r="E71" s="10">
        <v>13.1</v>
      </c>
      <c r="F71" s="10">
        <v>13.1</v>
      </c>
      <c r="G71">
        <v>3014000</v>
      </c>
      <c r="H71" s="10">
        <f>IF(tbl_LTHM[[#This Row],[Date]]=$A$5, $F71, EMA_Beta*$H70 + (1-EMA_Beta)*$F71)</f>
        <v>11.68105617919829</v>
      </c>
      <c r="I71" s="46">
        <f ca="1">IF(tbl_LTHM[[#This Row],[RS]]= "", "", 100-(100/(1+tbl_LTHM[[#This Row],[RS]])))</f>
        <v>69.654088050314471</v>
      </c>
      <c r="J71" s="10">
        <f ca="1">IF(ROW($N71)-4&lt;BB_Periods, "", AVERAGE(INDIRECT(ADDRESS(ROW($F71)-RSI_Periods +1, MATCH("Adj Close", Price_Header,0))): INDIRECT(ADDRESS(ROW($F71),MATCH("Adj Close", Price_Header,0)))))</f>
        <v>11.639999999999999</v>
      </c>
      <c r="K71" s="10">
        <f ca="1">IF(tbl_LTHM[[#This Row],[BB_Mean]]="", "", tbl_LTHM[[#This Row],[BB_Mean]]+(BB_Width*tbl_LTHM[[#This Row],[BB_Stdev]]))</f>
        <v>14.069460212285223</v>
      </c>
      <c r="L71" s="10">
        <f ca="1">IF(tbl_LTHM[[#This Row],[BB_Mean]]="", "", tbl_LTHM[[#This Row],[BB_Mean]]-(BB_Width*tbl_LTHM[[#This Row],[BB_Stdev]]))</f>
        <v>9.2105397877147741</v>
      </c>
      <c r="M71" s="46">
        <f>IF(ROW(tbl_LTHM[[#This Row],[Adj Close]])=5, 0, $F71-$F70)</f>
        <v>4.9999999999998934E-2</v>
      </c>
      <c r="N71" s="46">
        <f>MAX(tbl_LTHM[[#This Row],[Move]],0)</f>
        <v>4.9999999999998934E-2</v>
      </c>
      <c r="O71" s="46">
        <f>MAX(-tbl_LTHM[[#This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0.31642857142857139</v>
      </c>
      <c r="Q71" s="46">
        <f ca="1">IF(ROW($O71)-5&lt;RSI_Periods, "", AVERAGE(INDIRECT(ADDRESS(ROW($O71)-RSI_Periods +1, MATCH("Downmove", Price_Header,0))): INDIRECT(ADDRESS(ROW($O71),MATCH("Downmove", Price_Header,0)))))</f>
        <v>0.13785714285714284</v>
      </c>
      <c r="R71" s="46">
        <f ca="1">IF(tbl_LTHM[[#This Row],[Avg_Upmove]]="", "", tbl_LTHM[[#This Row],[Avg_Upmove]]/tbl_LTHM[[#This Row],[Avg_Downmove]])</f>
        <v>2.295336787564767</v>
      </c>
      <c r="S71" s="10">
        <f ca="1">IF(ROW($N71)-4&lt;BB_Periods, "", _xlfn.STDEV.S(INDIRECT(ADDRESS(ROW($F71)-RSI_Periods +1, MATCH("Adj Close", Price_Header,0))): INDIRECT(ADDRESS(ROW($F71),MATCH("Adj Close", Price_Header,0)))))</f>
        <v>1.2147301061426121</v>
      </c>
    </row>
    <row r="72" spans="1:19" x14ac:dyDescent="0.35">
      <c r="A72" s="8">
        <v>44147</v>
      </c>
      <c r="B72" s="10">
        <v>13.15</v>
      </c>
      <c r="C72" s="10">
        <v>13.95</v>
      </c>
      <c r="D72" s="10">
        <v>12.91</v>
      </c>
      <c r="E72" s="10">
        <v>13.18</v>
      </c>
      <c r="F72" s="10">
        <v>13.18</v>
      </c>
      <c r="G72">
        <v>4179600</v>
      </c>
      <c r="H72" s="10">
        <f>IF(tbl_LTHM[[#This Row],[Date]]=$A$5, $F72, EMA_Beta*$H71 + (1-EMA_Beta)*$F72)</f>
        <v>11.830950561278462</v>
      </c>
      <c r="I72" s="46">
        <f ca="1">IF(tbl_LTHM[[#This Row],[RS]]= "", "", 100-(100/(1+tbl_LTHM[[#This Row],[RS]])))</f>
        <v>69.12</v>
      </c>
      <c r="J72" s="10">
        <f ca="1">IF(ROW($N72)-4&lt;BB_Periods, "", AVERAGE(INDIRECT(ADDRESS(ROW($F72)-RSI_Periods +1, MATCH("Adj Close", Price_Header,0))): INDIRECT(ADDRESS(ROW($F72),MATCH("Adj Close", Price_Header,0)))))</f>
        <v>11.810714285714285</v>
      </c>
      <c r="K72" s="10">
        <f ca="1">IF(tbl_LTHM[[#This Row],[BB_Mean]]="", "", tbl_LTHM[[#This Row],[BB_Mean]]+(BB_Width*tbl_LTHM[[#This Row],[BB_Stdev]]))</f>
        <v>14.317535310109859</v>
      </c>
      <c r="L72" s="10">
        <f ca="1">IF(tbl_LTHM[[#This Row],[BB_Mean]]="", "", tbl_LTHM[[#This Row],[BB_Mean]]-(BB_Width*tbl_LTHM[[#This Row],[BB_Stdev]]))</f>
        <v>9.3038932613187111</v>
      </c>
      <c r="M72" s="46">
        <f>IF(ROW(tbl_LTHM[[#This Row],[Adj Close]])=5, 0, $F72-$F71)</f>
        <v>8.0000000000000071E-2</v>
      </c>
      <c r="N72" s="46">
        <f>MAX(tbl_LTHM[[#This Row],[Move]],0)</f>
        <v>8.0000000000000071E-2</v>
      </c>
      <c r="O72" s="46">
        <f>MAX(-tbl_LTHM[[#This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0.30857142857142861</v>
      </c>
      <c r="Q72" s="46">
        <f ca="1">IF(ROW($O72)-5&lt;RSI_Periods, "", AVERAGE(INDIRECT(ADDRESS(ROW($O72)-RSI_Periods +1, MATCH("Downmove", Price_Header,0))): INDIRECT(ADDRESS(ROW($O72),MATCH("Downmove", Price_Header,0)))))</f>
        <v>0.13785714285714284</v>
      </c>
      <c r="R72" s="46">
        <f ca="1">IF(tbl_LTHM[[#This Row],[Avg_Upmove]]="", "", tbl_LTHM[[#This Row],[Avg_Upmove]]/tbl_LTHM[[#This Row],[Avg_Downmove]])</f>
        <v>2.2383419689119175</v>
      </c>
      <c r="S72" s="10">
        <f ca="1">IF(ROW($N72)-4&lt;BB_Periods, "", _xlfn.STDEV.S(INDIRECT(ADDRESS(ROW($F72)-RSI_Periods +1, MATCH("Adj Close", Price_Header,0))): INDIRECT(ADDRESS(ROW($F72),MATCH("Adj Close", Price_Header,0)))))</f>
        <v>1.253410512197787</v>
      </c>
    </row>
    <row r="73" spans="1:19" x14ac:dyDescent="0.35">
      <c r="A73" s="8">
        <v>44148</v>
      </c>
      <c r="B73" s="10">
        <v>13.33</v>
      </c>
      <c r="C73" s="10">
        <v>13.69</v>
      </c>
      <c r="D73" s="10">
        <v>13.24</v>
      </c>
      <c r="E73" s="10">
        <v>13.45</v>
      </c>
      <c r="F73" s="10">
        <v>13.45</v>
      </c>
      <c r="G73">
        <v>1195709</v>
      </c>
      <c r="H73" s="10">
        <f>IF(tbl_LTHM[[#This Row],[Date]]=$A$5, $F73, EMA_Beta*$H72 + (1-EMA_Beta)*$F73)</f>
        <v>11.992855505150615</v>
      </c>
      <c r="I73" s="46">
        <f ca="1">IF(tbl_LTHM[[#This Row],[RS]]= "", "", 100-(100/(1+tbl_LTHM[[#This Row],[RS]])))</f>
        <v>72.28346456692914</v>
      </c>
      <c r="J73" s="10">
        <f ca="1">IF(ROW($N73)-4&lt;BB_Periods, "", AVERAGE(INDIRECT(ADDRESS(ROW($F73)-RSI_Periods +1, MATCH("Adj Close", Price_Header,0))): INDIRECT(ADDRESS(ROW($F73),MATCH("Adj Close", Price_Header,0)))))</f>
        <v>12.012857142857143</v>
      </c>
      <c r="K73" s="10">
        <f ca="1">IF(tbl_LTHM[[#This Row],[BB_Mean]]="", "", tbl_LTHM[[#This Row],[BB_Mean]]+(BB_Width*tbl_LTHM[[#This Row],[BB_Stdev]]))</f>
        <v>14.562118617467771</v>
      </c>
      <c r="L73" s="10">
        <f ca="1">IF(tbl_LTHM[[#This Row],[BB_Mean]]="", "", tbl_LTHM[[#This Row],[BB_Mean]]-(BB_Width*tbl_LTHM[[#This Row],[BB_Stdev]]))</f>
        <v>9.4635956682465157</v>
      </c>
      <c r="M73" s="46">
        <f>IF(ROW(tbl_LTHM[[#This Row],[Adj Close]])=5, 0, $F73-$F72)</f>
        <v>0.26999999999999957</v>
      </c>
      <c r="N73" s="46">
        <f>MAX(tbl_LTHM[[#This Row],[Move]],0)</f>
        <v>0.26999999999999957</v>
      </c>
      <c r="O73" s="46">
        <f>MAX(-tbl_LTHM[[#This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0.32785714285714285</v>
      </c>
      <c r="Q73" s="46">
        <f ca="1">IF(ROW($O73)-5&lt;RSI_Periods, "", AVERAGE(INDIRECT(ADDRESS(ROW($O73)-RSI_Periods +1, MATCH("Downmove", Price_Header,0))): INDIRECT(ADDRESS(ROW($O73),MATCH("Downmove", Price_Header,0)))))</f>
        <v>0.1257142857142857</v>
      </c>
      <c r="R73" s="46">
        <f ca="1">IF(tbl_LTHM[[#This Row],[Avg_Upmove]]="", "", tbl_LTHM[[#This Row],[Avg_Upmove]]/tbl_LTHM[[#This Row],[Avg_Downmove]])</f>
        <v>2.6079545454545459</v>
      </c>
      <c r="S73" s="10">
        <f ca="1">IF(ROW($N73)-4&lt;BB_Periods, "", _xlfn.STDEV.S(INDIRECT(ADDRESS(ROW($F73)-RSI_Periods +1, MATCH("Adj Close", Price_Header,0))): INDIRECT(ADDRESS(ROW($F73),MATCH("Adj Close", Price_Header,0)))))</f>
        <v>1.2746307373053141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SUBTOTAL(103,tbl_LTHM[BB_Stdev])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F2E9-8C08-4EAB-ABBE-ECDB0EFAC425}">
  <dimension ref="A1:S74"/>
  <sheetViews>
    <sheetView topLeftCell="A61" workbookViewId="0">
      <selection activeCell="A74" sqref="A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351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51.11</v>
      </c>
      <c r="C5" s="10">
        <v>58.26</v>
      </c>
      <c r="D5" s="10">
        <v>51.11</v>
      </c>
      <c r="E5" s="10">
        <v>57.31</v>
      </c>
      <c r="F5" s="10">
        <v>57.31</v>
      </c>
      <c r="G5">
        <v>19738000</v>
      </c>
      <c r="H5" s="10">
        <f>IF(tbl_RCL[[#This Row],[Date]]=$A$5, $F5, EMA_Beta*$H4 + (1-EMA_Beta)*$F5)</f>
        <v>57.31</v>
      </c>
      <c r="I5" s="46" t="str">
        <f ca="1">IF(tbl_RCL[[#This Row],[RS]]= "", "", 100-(100/(1+tbl_RCL[[#This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IF(tbl_RCL[[#This Row],[BB_Mean]]="", "", tbl_RCL[[#This Row],[BB_Mean]]+(BB_Width*tbl_RCL[[#This Row],[BB_Stdev]]))</f>
        <v/>
      </c>
      <c r="L5" s="10" t="str">
        <f ca="1">IF(tbl_RCL[[#This Row],[BB_Mean]]="", "", tbl_RCL[[#This Row],[BB_Mean]]-(BB_Width*tbl_RCL[[#This Row],[BB_Stdev]]))</f>
        <v/>
      </c>
      <c r="M5" s="46">
        <f>IF(ROW(tbl_RCL[[#This Row],[Adj Close]])=5, 0, $F5-$F4)</f>
        <v>0</v>
      </c>
      <c r="N5" s="46">
        <f>MAX(tbl_RCL[[#This Row],[Move]],0)</f>
        <v>0</v>
      </c>
      <c r="O5" s="46">
        <f>MAX(-tbl_RCL[[#This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IF(tbl_RCL[[#This Row],[Avg_Upmove]]="", "", tbl_RCL[[#This Row],[Avg_Upmove]]/tbl_RCL[[#This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61.48</v>
      </c>
      <c r="C6" s="10">
        <v>62.19</v>
      </c>
      <c r="D6" s="10">
        <v>58.29</v>
      </c>
      <c r="E6" s="10">
        <v>58.67</v>
      </c>
      <c r="F6" s="10">
        <v>58.67</v>
      </c>
      <c r="G6">
        <v>18211800</v>
      </c>
      <c r="H6" s="10">
        <f>IF(tbl_RCL[[#This Row],[Date]]=$A$5, $F6, EMA_Beta*$H5 + (1-EMA_Beta)*$F6)</f>
        <v>57.445999999999998</v>
      </c>
      <c r="I6" s="46" t="str">
        <f ca="1">IF(tbl_RCL[[#This Row],[RS]]= "", "", 100-(100/(1+tbl_RCL[[#This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IF(tbl_RCL[[#This Row],[BB_Mean]]="", "", tbl_RCL[[#This Row],[BB_Mean]]+(BB_Width*tbl_RCL[[#This Row],[BB_Stdev]]))</f>
        <v/>
      </c>
      <c r="L6" s="10" t="str">
        <f ca="1">IF(tbl_RCL[[#This Row],[BB_Mean]]="", "", tbl_RCL[[#This Row],[BB_Mean]]-(BB_Width*tbl_RCL[[#This Row],[BB_Stdev]]))</f>
        <v/>
      </c>
      <c r="M6" s="46">
        <f>IF(ROW(tbl_RCL[[#This Row],[Adj Close]])=5, 0, $F6-$F5)</f>
        <v>1.3599999999999994</v>
      </c>
      <c r="N6" s="46">
        <f>MAX(tbl_RCL[[#This Row],[Move]],0)</f>
        <v>1.3599999999999994</v>
      </c>
      <c r="O6" s="46">
        <f>MAX(-tbl_RCL[[#This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IF(tbl_RCL[[#This Row],[Avg_Upmove]]="", "", tbl_RCL[[#This Row],[Avg_Upmove]]/tbl_RCL[[#This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60.52</v>
      </c>
      <c r="C7" s="10">
        <v>60.77</v>
      </c>
      <c r="D7" s="10">
        <v>55.03</v>
      </c>
      <c r="E7" s="10">
        <v>57.19</v>
      </c>
      <c r="F7" s="10">
        <v>57.19</v>
      </c>
      <c r="G7">
        <v>12717200</v>
      </c>
      <c r="H7" s="10">
        <f>IF(tbl_RCL[[#This Row],[Date]]=$A$5, $F7, EMA_Beta*$H6 + (1-EMA_Beta)*$F7)</f>
        <v>57.420400000000001</v>
      </c>
      <c r="I7" s="46" t="str">
        <f ca="1">IF(tbl_RCL[[#This Row],[RS]]= "", "", 100-(100/(1+tbl_RCL[[#This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IF(tbl_RCL[[#This Row],[BB_Mean]]="", "", tbl_RCL[[#This Row],[BB_Mean]]+(BB_Width*tbl_RCL[[#This Row],[BB_Stdev]]))</f>
        <v/>
      </c>
      <c r="L7" s="10" t="str">
        <f ca="1">IF(tbl_RCL[[#This Row],[BB_Mean]]="", "", tbl_RCL[[#This Row],[BB_Mean]]-(BB_Width*tbl_RCL[[#This Row],[BB_Stdev]]))</f>
        <v/>
      </c>
      <c r="M7" s="46">
        <f>IF(ROW(tbl_RCL[[#This Row],[Adj Close]])=5, 0, $F7-$F6)</f>
        <v>-1.480000000000004</v>
      </c>
      <c r="N7" s="46">
        <f>MAX(tbl_RCL[[#This Row],[Move]],0)</f>
        <v>0</v>
      </c>
      <c r="O7" s="46">
        <f>MAX(-tbl_RCL[[#This Row],[Move]],0)</f>
        <v>1.480000000000004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IF(tbl_RCL[[#This Row],[Avg_Upmove]]="", "", tbl_RCL[[#This Row],[Avg_Upmove]]/tbl_RCL[[#This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56.71</v>
      </c>
      <c r="C8" s="10">
        <v>59.65</v>
      </c>
      <c r="D8" s="10">
        <v>56.39</v>
      </c>
      <c r="E8" s="10">
        <v>58.5</v>
      </c>
      <c r="F8" s="10">
        <v>58.5</v>
      </c>
      <c r="G8">
        <v>8594100</v>
      </c>
      <c r="H8" s="10">
        <f>IF(tbl_RCL[[#This Row],[Date]]=$A$5, $F8, EMA_Beta*$H7 + (1-EMA_Beta)*$F8)</f>
        <v>57.528360000000006</v>
      </c>
      <c r="I8" s="46" t="str">
        <f ca="1">IF(tbl_RCL[[#This Row],[RS]]= "", "", 100-(100/(1+tbl_RCL[[#This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IF(tbl_RCL[[#This Row],[BB_Mean]]="", "", tbl_RCL[[#This Row],[BB_Mean]]+(BB_Width*tbl_RCL[[#This Row],[BB_Stdev]]))</f>
        <v/>
      </c>
      <c r="L8" s="10" t="str">
        <f ca="1">IF(tbl_RCL[[#This Row],[BB_Mean]]="", "", tbl_RCL[[#This Row],[BB_Mean]]-(BB_Width*tbl_RCL[[#This Row],[BB_Stdev]]))</f>
        <v/>
      </c>
      <c r="M8" s="46">
        <f>IF(ROW(tbl_RCL[[#This Row],[Adj Close]])=5, 0, $F8-$F7)</f>
        <v>1.3100000000000023</v>
      </c>
      <c r="N8" s="46">
        <f>MAX(tbl_RCL[[#This Row],[Move]],0)</f>
        <v>1.3100000000000023</v>
      </c>
      <c r="O8" s="46">
        <f>MAX(-tbl_RCL[[#This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IF(tbl_RCL[[#This Row],[Avg_Upmove]]="", "", tbl_RCL[[#This Row],[Avg_Upmove]]/tbl_RCL[[#This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57.93</v>
      </c>
      <c r="C9" s="10">
        <v>60.75</v>
      </c>
      <c r="D9" s="10">
        <v>57.6</v>
      </c>
      <c r="E9" s="10">
        <v>60.5</v>
      </c>
      <c r="F9" s="10">
        <v>60.5</v>
      </c>
      <c r="G9">
        <v>9203400</v>
      </c>
      <c r="H9" s="10">
        <f>IF(tbl_RCL[[#This Row],[Date]]=$A$5, $F9, EMA_Beta*$H8 + (1-EMA_Beta)*$F9)</f>
        <v>57.825524000000001</v>
      </c>
      <c r="I9" s="46" t="str">
        <f ca="1">IF(tbl_RCL[[#This Row],[RS]]= "", "", 100-(100/(1+tbl_RCL[[#This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IF(tbl_RCL[[#This Row],[BB_Mean]]="", "", tbl_RCL[[#This Row],[BB_Mean]]+(BB_Width*tbl_RCL[[#This Row],[BB_Stdev]]))</f>
        <v/>
      </c>
      <c r="L9" s="10" t="str">
        <f ca="1">IF(tbl_RCL[[#This Row],[BB_Mean]]="", "", tbl_RCL[[#This Row],[BB_Mean]]-(BB_Width*tbl_RCL[[#This Row],[BB_Stdev]]))</f>
        <v/>
      </c>
      <c r="M9" s="46">
        <f>IF(ROW(tbl_RCL[[#This Row],[Adj Close]])=5, 0, $F9-$F8)</f>
        <v>2</v>
      </c>
      <c r="N9" s="46">
        <f>MAX(tbl_RCL[[#This Row],[Move]],0)</f>
        <v>2</v>
      </c>
      <c r="O9" s="46">
        <f>MAX(-tbl_RCL[[#This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IF(tbl_RCL[[#This Row],[Avg_Upmove]]="", "", tbl_RCL[[#This Row],[Avg_Upmove]]/tbl_RCL[[#This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60.35</v>
      </c>
      <c r="C10" s="10">
        <v>60.55</v>
      </c>
      <c r="D10" s="10">
        <v>58.56</v>
      </c>
      <c r="E10" s="10">
        <v>60.29</v>
      </c>
      <c r="F10" s="10">
        <v>60.29</v>
      </c>
      <c r="G10">
        <v>8097400</v>
      </c>
      <c r="H10" s="10">
        <f>IF(tbl_RCL[[#This Row],[Date]]=$A$5, $F10, EMA_Beta*$H9 + (1-EMA_Beta)*$F10)</f>
        <v>58.071971599999998</v>
      </c>
      <c r="I10" s="46" t="str">
        <f ca="1">IF(tbl_RCL[[#This Row],[RS]]= "", "", 100-(100/(1+tbl_RCL[[#This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IF(tbl_RCL[[#This Row],[BB_Mean]]="", "", tbl_RCL[[#This Row],[BB_Mean]]+(BB_Width*tbl_RCL[[#This Row],[BB_Stdev]]))</f>
        <v/>
      </c>
      <c r="L10" s="10" t="str">
        <f ca="1">IF(tbl_RCL[[#This Row],[BB_Mean]]="", "", tbl_RCL[[#This Row],[BB_Mean]]-(BB_Width*tbl_RCL[[#This Row],[BB_Stdev]]))</f>
        <v/>
      </c>
      <c r="M10" s="46">
        <f>IF(ROW(tbl_RCL[[#This Row],[Adj Close]])=5, 0, $F10-$F9)</f>
        <v>-0.21000000000000085</v>
      </c>
      <c r="N10" s="46">
        <f>MAX(tbl_RCL[[#This Row],[Move]],0)</f>
        <v>0</v>
      </c>
      <c r="O10" s="46">
        <f>MAX(-tbl_RCL[[#This Row],[Move]],0)</f>
        <v>0.21000000000000085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IF(tbl_RCL[[#This Row],[Avg_Upmove]]="", "", tbl_RCL[[#This Row],[Avg_Upmove]]/tbl_RCL[[#This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60</v>
      </c>
      <c r="C11" s="10">
        <v>60.58</v>
      </c>
      <c r="D11" s="10">
        <v>58.71</v>
      </c>
      <c r="E11" s="10">
        <v>60.4</v>
      </c>
      <c r="F11" s="10">
        <v>60.4</v>
      </c>
      <c r="G11">
        <v>7827000</v>
      </c>
      <c r="H11" s="10">
        <f>IF(tbl_RCL[[#This Row],[Date]]=$A$5, $F11, EMA_Beta*$H10 + (1-EMA_Beta)*$F11)</f>
        <v>58.304774439999996</v>
      </c>
      <c r="I11" s="46" t="str">
        <f ca="1">IF(tbl_RCL[[#This Row],[RS]]= "", "", 100-(100/(1+tbl_RCL[[#This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IF(tbl_RCL[[#This Row],[BB_Mean]]="", "", tbl_RCL[[#This Row],[BB_Mean]]+(BB_Width*tbl_RCL[[#This Row],[BB_Stdev]]))</f>
        <v/>
      </c>
      <c r="L11" s="10" t="str">
        <f ca="1">IF(tbl_RCL[[#This Row],[BB_Mean]]="", "", tbl_RCL[[#This Row],[BB_Mean]]-(BB_Width*tbl_RCL[[#This Row],[BB_Stdev]]))</f>
        <v/>
      </c>
      <c r="M11" s="46">
        <f>IF(ROW(tbl_RCL[[#This Row],[Adj Close]])=5, 0, $F11-$F10)</f>
        <v>0.10999999999999943</v>
      </c>
      <c r="N11" s="46">
        <f>MAX(tbl_RCL[[#This Row],[Move]],0)</f>
        <v>0.10999999999999943</v>
      </c>
      <c r="O11" s="46">
        <f>MAX(-tbl_RCL[[#This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IF(tbl_RCL[[#This Row],[Avg_Upmove]]="", "", tbl_RCL[[#This Row],[Avg_Upmove]]/tbl_RCL[[#This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60.21</v>
      </c>
      <c r="C12" s="10">
        <v>64.150000000000006</v>
      </c>
      <c r="D12" s="10">
        <v>60.04</v>
      </c>
      <c r="E12" s="10">
        <v>61.09</v>
      </c>
      <c r="F12" s="10">
        <v>61.09</v>
      </c>
      <c r="G12">
        <v>10438600</v>
      </c>
      <c r="H12" s="10">
        <f>IF(tbl_RCL[[#This Row],[Date]]=$A$5, $F12, EMA_Beta*$H11 + (1-EMA_Beta)*$F12)</f>
        <v>58.583296996000001</v>
      </c>
      <c r="I12" s="46" t="str">
        <f ca="1">IF(tbl_RCL[[#This Row],[RS]]= "", "", 100-(100/(1+tbl_RCL[[#This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IF(tbl_RCL[[#This Row],[BB_Mean]]="", "", tbl_RCL[[#This Row],[BB_Mean]]+(BB_Width*tbl_RCL[[#This Row],[BB_Stdev]]))</f>
        <v/>
      </c>
      <c r="L12" s="10" t="str">
        <f ca="1">IF(tbl_RCL[[#This Row],[BB_Mean]]="", "", tbl_RCL[[#This Row],[BB_Mean]]-(BB_Width*tbl_RCL[[#This Row],[BB_Stdev]]))</f>
        <v/>
      </c>
      <c r="M12" s="46">
        <f>IF(ROW(tbl_RCL[[#This Row],[Adj Close]])=5, 0, $F12-$F11)</f>
        <v>0.69000000000000483</v>
      </c>
      <c r="N12" s="46">
        <f>MAX(tbl_RCL[[#This Row],[Move]],0)</f>
        <v>0.69000000000000483</v>
      </c>
      <c r="O12" s="46">
        <f>MAX(-tbl_RCL[[#This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IF(tbl_RCL[[#This Row],[Avg_Upmove]]="", "", tbl_RCL[[#This Row],[Avg_Upmove]]/tbl_RCL[[#This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59.96</v>
      </c>
      <c r="C13" s="10">
        <v>61.76</v>
      </c>
      <c r="D13" s="10">
        <v>59.27</v>
      </c>
      <c r="E13" s="10">
        <v>61.53</v>
      </c>
      <c r="F13" s="10">
        <v>61.53</v>
      </c>
      <c r="G13">
        <v>5405900</v>
      </c>
      <c r="H13" s="10">
        <f>IF(tbl_RCL[[#This Row],[Date]]=$A$5, $F13, EMA_Beta*$H12 + (1-EMA_Beta)*$F13)</f>
        <v>58.877967296400001</v>
      </c>
      <c r="I13" s="46" t="str">
        <f ca="1">IF(tbl_RCL[[#This Row],[RS]]= "", "", 100-(100/(1+tbl_RCL[[#This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IF(tbl_RCL[[#This Row],[BB_Mean]]="", "", tbl_RCL[[#This Row],[BB_Mean]]+(BB_Width*tbl_RCL[[#This Row],[BB_Stdev]]))</f>
        <v/>
      </c>
      <c r="L13" s="10" t="str">
        <f ca="1">IF(tbl_RCL[[#This Row],[BB_Mean]]="", "", tbl_RCL[[#This Row],[BB_Mean]]-(BB_Width*tbl_RCL[[#This Row],[BB_Stdev]]))</f>
        <v/>
      </c>
      <c r="M13" s="46">
        <f>IF(ROW(tbl_RCL[[#This Row],[Adj Close]])=5, 0, $F13-$F12)</f>
        <v>0.43999999999999773</v>
      </c>
      <c r="N13" s="46">
        <f>MAX(tbl_RCL[[#This Row],[Move]],0)</f>
        <v>0.43999999999999773</v>
      </c>
      <c r="O13" s="46">
        <f>MAX(-tbl_RCL[[#This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IF(tbl_RCL[[#This Row],[Avg_Upmove]]="", "", tbl_RCL[[#This Row],[Avg_Upmove]]/tbl_RCL[[#This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61.51</v>
      </c>
      <c r="C14" s="10">
        <v>63.03</v>
      </c>
      <c r="D14" s="10">
        <v>61.29</v>
      </c>
      <c r="E14" s="10">
        <v>61.53</v>
      </c>
      <c r="F14" s="10">
        <v>61.53</v>
      </c>
      <c r="G14">
        <v>5980700</v>
      </c>
      <c r="H14" s="10">
        <f>IF(tbl_RCL[[#This Row],[Date]]=$A$5, $F14, EMA_Beta*$H13 + (1-EMA_Beta)*$F14)</f>
        <v>59.143170566759999</v>
      </c>
      <c r="I14" s="46" t="str">
        <f ca="1">IF(tbl_RCL[[#This Row],[RS]]= "", "", 100-(100/(1+tbl_RCL[[#This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IF(tbl_RCL[[#This Row],[BB_Mean]]="", "", tbl_RCL[[#This Row],[BB_Mean]]+(BB_Width*tbl_RCL[[#This Row],[BB_Stdev]]))</f>
        <v/>
      </c>
      <c r="L14" s="10" t="str">
        <f ca="1">IF(tbl_RCL[[#This Row],[BB_Mean]]="", "", tbl_RCL[[#This Row],[BB_Mean]]-(BB_Width*tbl_RCL[[#This Row],[BB_Stdev]]))</f>
        <v/>
      </c>
      <c r="M14" s="46">
        <f>IF(ROW(tbl_RCL[[#This Row],[Adj Close]])=5, 0, $F14-$F13)</f>
        <v>0</v>
      </c>
      <c r="N14" s="46">
        <f>MAX(tbl_RCL[[#This Row],[Move]],0)</f>
        <v>0</v>
      </c>
      <c r="O14" s="46">
        <f>MAX(-tbl_RCL[[#This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IF(tbl_RCL[[#This Row],[Avg_Upmove]]="", "", tbl_RCL[[#This Row],[Avg_Upmove]]/tbl_RCL[[#This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63.04</v>
      </c>
      <c r="C15" s="10">
        <v>65.2</v>
      </c>
      <c r="D15" s="10">
        <v>61.2</v>
      </c>
      <c r="E15" s="10">
        <v>64.430000000000007</v>
      </c>
      <c r="F15" s="10">
        <v>64.430000000000007</v>
      </c>
      <c r="G15">
        <v>12221500</v>
      </c>
      <c r="H15" s="10">
        <f>IF(tbl_RCL[[#This Row],[Date]]=$A$5, $F15, EMA_Beta*$H14 + (1-EMA_Beta)*$F15)</f>
        <v>59.671853510083999</v>
      </c>
      <c r="I15" s="46" t="str">
        <f ca="1">IF(tbl_RCL[[#This Row],[RS]]= "", "", 100-(100/(1+tbl_RCL[[#This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IF(tbl_RCL[[#This Row],[BB_Mean]]="", "", tbl_RCL[[#This Row],[BB_Mean]]+(BB_Width*tbl_RCL[[#This Row],[BB_Stdev]]))</f>
        <v/>
      </c>
      <c r="L15" s="10" t="str">
        <f ca="1">IF(tbl_RCL[[#This Row],[BB_Mean]]="", "", tbl_RCL[[#This Row],[BB_Mean]]-(BB_Width*tbl_RCL[[#This Row],[BB_Stdev]]))</f>
        <v/>
      </c>
      <c r="M15" s="46">
        <f>IF(ROW(tbl_RCL[[#This Row],[Adj Close]])=5, 0, $F15-$F14)</f>
        <v>2.9000000000000057</v>
      </c>
      <c r="N15" s="46">
        <f>MAX(tbl_RCL[[#This Row],[Move]],0)</f>
        <v>2.9000000000000057</v>
      </c>
      <c r="O15" s="46">
        <f>MAX(-tbl_RCL[[#This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IF(tbl_RCL[[#This Row],[Avg_Upmove]]="", "", tbl_RCL[[#This Row],[Avg_Upmove]]/tbl_RCL[[#This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64.58</v>
      </c>
      <c r="C16" s="10">
        <v>65.09</v>
      </c>
      <c r="D16" s="10">
        <v>62.7</v>
      </c>
      <c r="E16" s="10">
        <v>64.069999999999993</v>
      </c>
      <c r="F16" s="10">
        <v>64.069999999999993</v>
      </c>
      <c r="G16">
        <v>7931400</v>
      </c>
      <c r="H16" s="10">
        <f>IF(tbl_RCL[[#This Row],[Date]]=$A$5, $F16, EMA_Beta*$H15 + (1-EMA_Beta)*$F16)</f>
        <v>60.111668159075599</v>
      </c>
      <c r="I16" s="46" t="str">
        <f ca="1">IF(tbl_RCL[[#This Row],[RS]]= "", "", 100-(100/(1+tbl_RCL[[#This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IF(tbl_RCL[[#This Row],[BB_Mean]]="", "", tbl_RCL[[#This Row],[BB_Mean]]+(BB_Width*tbl_RCL[[#This Row],[BB_Stdev]]))</f>
        <v/>
      </c>
      <c r="L16" s="10" t="str">
        <f ca="1">IF(tbl_RCL[[#This Row],[BB_Mean]]="", "", tbl_RCL[[#This Row],[BB_Mean]]-(BB_Width*tbl_RCL[[#This Row],[BB_Stdev]]))</f>
        <v/>
      </c>
      <c r="M16" s="46">
        <f>IF(ROW(tbl_RCL[[#This Row],[Adj Close]])=5, 0, $F16-$F15)</f>
        <v>-0.36000000000001364</v>
      </c>
      <c r="N16" s="46">
        <f>MAX(tbl_RCL[[#This Row],[Move]],0)</f>
        <v>0</v>
      </c>
      <c r="O16" s="46">
        <f>MAX(-tbl_RCL[[#This Row],[Move]],0)</f>
        <v>0.36000000000001364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IF(tbl_RCL[[#This Row],[Avg_Upmove]]="", "", tbl_RCL[[#This Row],[Avg_Upmove]]/tbl_RCL[[#This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63.72</v>
      </c>
      <c r="C17" s="10">
        <v>64.08</v>
      </c>
      <c r="D17" s="10">
        <v>61.89</v>
      </c>
      <c r="E17" s="10">
        <v>62.84</v>
      </c>
      <c r="F17" s="10">
        <v>62.84</v>
      </c>
      <c r="G17">
        <v>5710300</v>
      </c>
      <c r="H17" s="10">
        <f>IF(tbl_RCL[[#This Row],[Date]]=$A$5, $F17, EMA_Beta*$H16 + (1-EMA_Beta)*$F17)</f>
        <v>60.38450134316804</v>
      </c>
      <c r="I17" s="46" t="str">
        <f ca="1">IF(tbl_RCL[[#This Row],[RS]]= "", "", 100-(100/(1+tbl_RCL[[#This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IF(tbl_RCL[[#This Row],[BB_Mean]]="", "", tbl_RCL[[#This Row],[BB_Mean]]+(BB_Width*tbl_RCL[[#This Row],[BB_Stdev]]))</f>
        <v/>
      </c>
      <c r="L17" s="10" t="str">
        <f ca="1">IF(tbl_RCL[[#This Row],[BB_Mean]]="", "", tbl_RCL[[#This Row],[BB_Mean]]-(BB_Width*tbl_RCL[[#This Row],[BB_Stdev]]))</f>
        <v/>
      </c>
      <c r="M17" s="46">
        <f>IF(ROW(tbl_RCL[[#This Row],[Adj Close]])=5, 0, $F17-$F16)</f>
        <v>-1.2299999999999898</v>
      </c>
      <c r="N17" s="46">
        <f>MAX(tbl_RCL[[#This Row],[Move]],0)</f>
        <v>0</v>
      </c>
      <c r="O17" s="46">
        <f>MAX(-tbl_RCL[[#This Row],[Move]],0)</f>
        <v>1.2299999999999898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IF(tbl_RCL[[#This Row],[Avg_Upmove]]="", "", tbl_RCL[[#This Row],[Avg_Upmove]]/tbl_RCL[[#This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64.040000000000006</v>
      </c>
      <c r="C18" s="10">
        <v>67.569999999999993</v>
      </c>
      <c r="D18" s="10">
        <v>63.97</v>
      </c>
      <c r="E18" s="10">
        <v>66.599999999999994</v>
      </c>
      <c r="F18" s="10">
        <v>66.599999999999994</v>
      </c>
      <c r="G18">
        <v>9902900</v>
      </c>
      <c r="H18" s="10">
        <f>IF(tbl_RCL[[#This Row],[Date]]=$A$5, $F18, EMA_Beta*$H17 + (1-EMA_Beta)*$F18)</f>
        <v>61.006051208851233</v>
      </c>
      <c r="I18" s="46" t="str">
        <f ca="1">IF(tbl_RCL[[#This Row],[RS]]= "", "", 100-(100/(1+tbl_RCL[[#This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61.067857142857143</v>
      </c>
      <c r="K18" s="10">
        <f ca="1">IF(tbl_RCL[[#This Row],[BB_Mean]]="", "", tbl_RCL[[#This Row],[BB_Mean]]+(BB_Width*tbl_RCL[[#This Row],[BB_Stdev]]))</f>
        <v>66.541318590586556</v>
      </c>
      <c r="L18" s="10">
        <f ca="1">IF(tbl_RCL[[#This Row],[BB_Mean]]="", "", tbl_RCL[[#This Row],[BB_Mean]]-(BB_Width*tbl_RCL[[#This Row],[BB_Stdev]]))</f>
        <v>55.59439569512773</v>
      </c>
      <c r="M18" s="46">
        <f>IF(ROW(tbl_RCL[[#This Row],[Adj Close]])=5, 0, $F18-$F17)</f>
        <v>3.7599999999999909</v>
      </c>
      <c r="N18" s="46">
        <f>MAX(tbl_RCL[[#This Row],[Move]],0)</f>
        <v>3.7599999999999909</v>
      </c>
      <c r="O18" s="46">
        <f>MAX(-tbl_RCL[[#This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IF(tbl_RCL[[#This Row],[Avg_Upmove]]="", "", tbl_RCL[[#This Row],[Avg_Upmove]]/tbl_RCL[[#This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2.7367307238647083</v>
      </c>
    </row>
    <row r="19" spans="1:19" x14ac:dyDescent="0.35">
      <c r="A19" s="8">
        <v>44071</v>
      </c>
      <c r="B19" s="10">
        <v>67.81</v>
      </c>
      <c r="C19" s="10">
        <v>71.25</v>
      </c>
      <c r="D19" s="10">
        <v>66.64</v>
      </c>
      <c r="E19" s="10">
        <v>70.12</v>
      </c>
      <c r="F19" s="10">
        <v>70.12</v>
      </c>
      <c r="G19">
        <v>13883000</v>
      </c>
      <c r="H19" s="10">
        <f>IF(tbl_RCL[[#This Row],[Date]]=$A$5, $F19, EMA_Beta*$H18 + (1-EMA_Beta)*$F19)</f>
        <v>61.917446087966113</v>
      </c>
      <c r="I19" s="46">
        <f ca="1">IF(tbl_RCL[[#This Row],[RS]]= "", "", 100-(100/(1+tbl_RCL[[#This Row],[RS]])))</f>
        <v>83.066597831698473</v>
      </c>
      <c r="J19" s="10">
        <f ca="1">IF(ROW($N19)-4&lt;BB_Periods, "", AVERAGE(INDIRECT(ADDRESS(ROW($F19)-RSI_Periods +1, MATCH("Adj Close", Price_Header,0))): INDIRECT(ADDRESS(ROW($F19),MATCH("Adj Close", Price_Header,0)))))</f>
        <v>61.982857142857135</v>
      </c>
      <c r="K19" s="10">
        <f ca="1">IF(tbl_RCL[[#This Row],[BB_Mean]]="", "", tbl_RCL[[#This Row],[BB_Mean]]+(BB_Width*tbl_RCL[[#This Row],[BB_Stdev]]))</f>
        <v>68.854531123533405</v>
      </c>
      <c r="L19" s="10">
        <f ca="1">IF(tbl_RCL[[#This Row],[BB_Mean]]="", "", tbl_RCL[[#This Row],[BB_Mean]]-(BB_Width*tbl_RCL[[#This Row],[BB_Stdev]]))</f>
        <v>55.111183162180858</v>
      </c>
      <c r="M19" s="46">
        <f>IF(ROW(tbl_RCL[[#This Row],[Adj Close]])=5, 0, $F19-$F18)</f>
        <v>3.5200000000000102</v>
      </c>
      <c r="N19" s="46">
        <f>MAX(tbl_RCL[[#This Row],[Move]],0)</f>
        <v>3.5200000000000102</v>
      </c>
      <c r="O19" s="46">
        <f>MAX(-tbl_RCL[[#This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1.1492857142857151</v>
      </c>
      <c r="Q19" s="46">
        <f ca="1">IF(ROW($O19)-5&lt;RSI_Periods, "", AVERAGE(INDIRECT(ADDRESS(ROW($O19)-RSI_Periods +1, MATCH("Downmove", Price_Header,0))): INDIRECT(ADDRESS(ROW($O19),MATCH("Downmove", Price_Header,0)))))</f>
        <v>0.23428571428571487</v>
      </c>
      <c r="R19" s="46">
        <f ca="1">IF(tbl_RCL[[#This Row],[Avg_Upmove]]="", "", tbl_RCL[[#This Row],[Avg_Upmove]]/tbl_RCL[[#This Row],[Avg_Downmove]])</f>
        <v>4.9054878048780397</v>
      </c>
      <c r="S19" s="10">
        <f ca="1">IF(ROW($N19)-4&lt;BB_Periods, "", _xlfn.STDEV.S(INDIRECT(ADDRESS(ROW($F19)-RSI_Periods +1, MATCH("Adj Close", Price_Header,0))): INDIRECT(ADDRESS(ROW($F19),MATCH("Adj Close", Price_Header,0)))))</f>
        <v>3.4358369903381374</v>
      </c>
    </row>
    <row r="20" spans="1:19" x14ac:dyDescent="0.35">
      <c r="A20" s="8">
        <v>44074</v>
      </c>
      <c r="B20" s="10">
        <v>70.13</v>
      </c>
      <c r="C20" s="10">
        <v>71.55</v>
      </c>
      <c r="D20" s="10">
        <v>68.2</v>
      </c>
      <c r="E20" s="10">
        <v>68.84</v>
      </c>
      <c r="F20" s="10">
        <v>68.84</v>
      </c>
      <c r="G20">
        <v>8218300</v>
      </c>
      <c r="H20" s="10">
        <f>IF(tbl_RCL[[#This Row],[Date]]=$A$5, $F20, EMA_Beta*$H19 + (1-EMA_Beta)*$F20)</f>
        <v>62.609701479169502</v>
      </c>
      <c r="I20" s="46">
        <f ca="1">IF(tbl_RCL[[#This Row],[RS]]= "", "", 100-(100/(1+tbl_RCL[[#This Row],[RS]])))</f>
        <v>76.360808709175714</v>
      </c>
      <c r="J20" s="10">
        <f ca="1">IF(ROW($N20)-4&lt;BB_Periods, "", AVERAGE(INDIRECT(ADDRESS(ROW($F20)-RSI_Periods +1, MATCH("Adj Close", Price_Header,0))): INDIRECT(ADDRESS(ROW($F20),MATCH("Adj Close", Price_Header,0)))))</f>
        <v>62.70928571428572</v>
      </c>
      <c r="K20" s="10">
        <f ca="1">IF(tbl_RCL[[#This Row],[BB_Mean]]="", "", tbl_RCL[[#This Row],[BB_Mean]]+(BB_Width*tbl_RCL[[#This Row],[BB_Stdev]]))</f>
        <v>70.195114230317103</v>
      </c>
      <c r="L20" s="10">
        <f ca="1">IF(tbl_RCL[[#This Row],[BB_Mean]]="", "", tbl_RCL[[#This Row],[BB_Mean]]-(BB_Width*tbl_RCL[[#This Row],[BB_Stdev]]))</f>
        <v>55.223457198254337</v>
      </c>
      <c r="M20" s="46">
        <f>IF(ROW(tbl_RCL[[#This Row],[Adj Close]])=5, 0, $F20-$F19)</f>
        <v>-1.2800000000000011</v>
      </c>
      <c r="N20" s="46">
        <f>MAX(tbl_RCL[[#This Row],[Move]],0)</f>
        <v>0</v>
      </c>
      <c r="O20" s="46">
        <f>MAX(-tbl_RCL[[#This Row],[Move]],0)</f>
        <v>1.2800000000000011</v>
      </c>
      <c r="P20" s="46">
        <f ca="1">IF(ROW($N20)-5&lt;RSI_Periods, "", AVERAGE(INDIRECT(ADDRESS(ROW($N20)-RSI_Periods +1, MATCH("Upmove", Price_Header,0))): INDIRECT(ADDRESS(ROW($N20),MATCH("Upmove", Price_Header,0)))))</f>
        <v>1.0521428571428579</v>
      </c>
      <c r="Q20" s="46">
        <f ca="1">IF(ROW($O20)-5&lt;RSI_Periods, "", AVERAGE(INDIRECT(ADDRESS(ROW($O20)-RSI_Periods +1, MATCH("Downmove", Price_Header,0))): INDIRECT(ADDRESS(ROW($O20),MATCH("Downmove", Price_Header,0)))))</f>
        <v>0.3257142857142864</v>
      </c>
      <c r="R20" s="46">
        <f ca="1">IF(tbl_RCL[[#This Row],[Avg_Upmove]]="", "", tbl_RCL[[#This Row],[Avg_Upmove]]/tbl_RCL[[#This Row],[Avg_Downmove]])</f>
        <v>3.2302631578947323</v>
      </c>
      <c r="S20" s="10">
        <f ca="1">IF(ROW($N20)-4&lt;BB_Periods, "", _xlfn.STDEV.S(INDIRECT(ADDRESS(ROW($F20)-RSI_Periods +1, MATCH("Adj Close", Price_Header,0))): INDIRECT(ADDRESS(ROW($F20),MATCH("Adj Close", Price_Header,0)))))</f>
        <v>3.7429142580156909</v>
      </c>
    </row>
    <row r="21" spans="1:19" x14ac:dyDescent="0.35">
      <c r="A21" s="8">
        <v>44075</v>
      </c>
      <c r="B21" s="10">
        <v>66.989999999999995</v>
      </c>
      <c r="C21" s="10">
        <v>69.17</v>
      </c>
      <c r="D21" s="10">
        <v>65.67</v>
      </c>
      <c r="E21" s="10">
        <v>68.510000000000005</v>
      </c>
      <c r="F21" s="10">
        <v>68.510000000000005</v>
      </c>
      <c r="G21">
        <v>6154000</v>
      </c>
      <c r="H21" s="10">
        <f>IF(tbl_RCL[[#This Row],[Date]]=$A$5, $F21, EMA_Beta*$H20 + (1-EMA_Beta)*$F21)</f>
        <v>63.199731331252551</v>
      </c>
      <c r="I21" s="46">
        <f ca="1">IF(tbl_RCL[[#This Row],[RS]]= "", "", 100-(100/(1+tbl_RCL[[#This Row],[RS]])))</f>
        <v>81.201764057331857</v>
      </c>
      <c r="J21" s="10">
        <f ca="1">IF(ROW($N21)-4&lt;BB_Periods, "", AVERAGE(INDIRECT(ADDRESS(ROW($F21)-RSI_Periods +1, MATCH("Adj Close", Price_Header,0))): INDIRECT(ADDRESS(ROW($F21),MATCH("Adj Close", Price_Header,0)))))</f>
        <v>63.517857142857146</v>
      </c>
      <c r="K21" s="10">
        <f ca="1">IF(tbl_RCL[[#This Row],[BB_Mean]]="", "", tbl_RCL[[#This Row],[BB_Mean]]+(BB_Width*tbl_RCL[[#This Row],[BB_Stdev]]))</f>
        <v>70.880027301889697</v>
      </c>
      <c r="L21" s="10">
        <f ca="1">IF(tbl_RCL[[#This Row],[BB_Mean]]="", "", tbl_RCL[[#This Row],[BB_Mean]]-(BB_Width*tbl_RCL[[#This Row],[BB_Stdev]]))</f>
        <v>56.155686983824587</v>
      </c>
      <c r="M21" s="46">
        <f>IF(ROW(tbl_RCL[[#This Row],[Adj Close]])=5, 0, $F21-$F20)</f>
        <v>-0.32999999999999829</v>
      </c>
      <c r="N21" s="46">
        <f>MAX(tbl_RCL[[#This Row],[Move]],0)</f>
        <v>0</v>
      </c>
      <c r="O21" s="46">
        <f>MAX(-tbl_RCL[[#This Row],[Move]],0)</f>
        <v>0.32999999999999829</v>
      </c>
      <c r="P21" s="46">
        <f ca="1">IF(ROW($N21)-5&lt;RSI_Periods, "", AVERAGE(INDIRECT(ADDRESS(ROW($N21)-RSI_Periods +1, MATCH("Upmove", Price_Header,0))): INDIRECT(ADDRESS(ROW($N21),MATCH("Upmove", Price_Header,0)))))</f>
        <v>1.0521428571428579</v>
      </c>
      <c r="Q21" s="46">
        <f ca="1">IF(ROW($O21)-5&lt;RSI_Periods, "", AVERAGE(INDIRECT(ADDRESS(ROW($O21)-RSI_Periods +1, MATCH("Downmove", Price_Header,0))): INDIRECT(ADDRESS(ROW($O21),MATCH("Downmove", Price_Header,0)))))</f>
        <v>0.24357142857142883</v>
      </c>
      <c r="R21" s="46">
        <f ca="1">IF(tbl_RCL[[#This Row],[Avg_Upmove]]="", "", tbl_RCL[[#This Row],[Avg_Upmove]]/tbl_RCL[[#This Row],[Avg_Downmove]])</f>
        <v>4.3196480938416411</v>
      </c>
      <c r="S21" s="10">
        <f ca="1">IF(ROW($N21)-4&lt;BB_Periods, "", _xlfn.STDEV.S(INDIRECT(ADDRESS(ROW($F21)-RSI_Periods +1, MATCH("Adj Close", Price_Header,0))): INDIRECT(ADDRESS(ROW($F21),MATCH("Adj Close", Price_Header,0)))))</f>
        <v>3.6810850795162793</v>
      </c>
    </row>
    <row r="22" spans="1:19" x14ac:dyDescent="0.35">
      <c r="A22" s="8">
        <v>44076</v>
      </c>
      <c r="B22" s="10">
        <v>69.180000000000007</v>
      </c>
      <c r="C22" s="10">
        <v>69.180000000000007</v>
      </c>
      <c r="D22" s="10">
        <v>66.73</v>
      </c>
      <c r="E22" s="10">
        <v>68.37</v>
      </c>
      <c r="F22" s="10">
        <v>68.37</v>
      </c>
      <c r="G22">
        <v>6132200</v>
      </c>
      <c r="H22" s="10">
        <f>IF(tbl_RCL[[#This Row],[Date]]=$A$5, $F22, EMA_Beta*$H21 + (1-EMA_Beta)*$F22)</f>
        <v>63.716758198127295</v>
      </c>
      <c r="I22" s="46">
        <f ca="1">IF(tbl_RCL[[#This Row],[RS]]= "", "", 100-(100/(1+tbl_RCL[[#This Row],[RS]])))</f>
        <v>79.080730701237471</v>
      </c>
      <c r="J22" s="10">
        <f ca="1">IF(ROW($N22)-4&lt;BB_Periods, "", AVERAGE(INDIRECT(ADDRESS(ROW($F22)-RSI_Periods +1, MATCH("Adj Close", Price_Header,0))): INDIRECT(ADDRESS(ROW($F22),MATCH("Adj Close", Price_Header,0)))))</f>
        <v>64.222857142857151</v>
      </c>
      <c r="K22" s="10">
        <f ca="1">IF(tbl_RCL[[#This Row],[BB_Mean]]="", "", tbl_RCL[[#This Row],[BB_Mean]]+(BB_Width*tbl_RCL[[#This Row],[BB_Stdev]]))</f>
        <v>71.403195376036507</v>
      </c>
      <c r="L22" s="10">
        <f ca="1">IF(tbl_RCL[[#This Row],[BB_Mean]]="", "", tbl_RCL[[#This Row],[BB_Mean]]-(BB_Width*tbl_RCL[[#This Row],[BB_Stdev]]))</f>
        <v>57.042518909677796</v>
      </c>
      <c r="M22" s="46">
        <f>IF(ROW(tbl_RCL[[#This Row],[Adj Close]])=5, 0, $F22-$F21)</f>
        <v>-0.14000000000000057</v>
      </c>
      <c r="N22" s="46">
        <f>MAX(tbl_RCL[[#This Row],[Move]],0)</f>
        <v>0</v>
      </c>
      <c r="O22" s="46">
        <f>MAX(-tbl_RCL[[#This Row],[Move]],0)</f>
        <v>0.14000000000000057</v>
      </c>
      <c r="P22" s="46">
        <f ca="1">IF(ROW($N22)-5&lt;RSI_Periods, "", AVERAGE(INDIRECT(ADDRESS(ROW($N22)-RSI_Periods +1, MATCH("Upmove", Price_Header,0))): INDIRECT(ADDRESS(ROW($N22),MATCH("Upmove", Price_Header,0)))))</f>
        <v>0.95857142857142918</v>
      </c>
      <c r="Q22" s="46">
        <f ca="1">IF(ROW($O22)-5&lt;RSI_Periods, "", AVERAGE(INDIRECT(ADDRESS(ROW($O22)-RSI_Periods +1, MATCH("Downmove", Price_Header,0))): INDIRECT(ADDRESS(ROW($O22),MATCH("Downmove", Price_Header,0)))))</f>
        <v>0.25357142857142889</v>
      </c>
      <c r="R22" s="46">
        <f ca="1">IF(tbl_RCL[[#This Row],[Avg_Upmove]]="", "", tbl_RCL[[#This Row],[Avg_Upmove]]/tbl_RCL[[#This Row],[Avg_Downmove]])</f>
        <v>3.7802816901408427</v>
      </c>
      <c r="S22" s="10">
        <f ca="1">IF(ROW($N22)-4&lt;BB_Periods, "", _xlfn.STDEV.S(INDIRECT(ADDRESS(ROW($F22)-RSI_Periods +1, MATCH("Adj Close", Price_Header,0))): INDIRECT(ADDRESS(ROW($F22),MATCH("Adj Close", Price_Header,0)))))</f>
        <v>3.5901691165896765</v>
      </c>
    </row>
    <row r="23" spans="1:19" x14ac:dyDescent="0.35">
      <c r="A23" s="8">
        <v>44077</v>
      </c>
      <c r="B23" s="10">
        <v>71.099999999999994</v>
      </c>
      <c r="C23" s="10">
        <v>74.44</v>
      </c>
      <c r="D23" s="10">
        <v>68.930000000000007</v>
      </c>
      <c r="E23" s="10">
        <v>70.2</v>
      </c>
      <c r="F23" s="10">
        <v>70.2</v>
      </c>
      <c r="G23">
        <v>12987800</v>
      </c>
      <c r="H23" s="10">
        <f>IF(tbl_RCL[[#This Row],[Date]]=$A$5, $F23, EMA_Beta*$H22 + (1-EMA_Beta)*$F23)</f>
        <v>64.365082378314568</v>
      </c>
      <c r="I23" s="46">
        <f ca="1">IF(tbl_RCL[[#This Row],[RS]]= "", "", 100-(100/(1+tbl_RCL[[#This Row],[RS]])))</f>
        <v>78.869047619047606</v>
      </c>
      <c r="J23" s="10">
        <f ca="1">IF(ROW($N23)-4&lt;BB_Periods, "", AVERAGE(INDIRECT(ADDRESS(ROW($F23)-RSI_Periods +1, MATCH("Adj Close", Price_Header,0))): INDIRECT(ADDRESS(ROW($F23),MATCH("Adj Close", Price_Header,0)))))</f>
        <v>64.915714285714301</v>
      </c>
      <c r="K23" s="10">
        <f ca="1">IF(tbl_RCL[[#This Row],[BB_Mean]]="", "", tbl_RCL[[#This Row],[BB_Mean]]+(BB_Width*tbl_RCL[[#This Row],[BB_Stdev]]))</f>
        <v>72.413548698337777</v>
      </c>
      <c r="L23" s="10">
        <f ca="1">IF(tbl_RCL[[#This Row],[BB_Mean]]="", "", tbl_RCL[[#This Row],[BB_Mean]]-(BB_Width*tbl_RCL[[#This Row],[BB_Stdev]]))</f>
        <v>57.417879873090818</v>
      </c>
      <c r="M23" s="46">
        <f>IF(ROW(tbl_RCL[[#This Row],[Adj Close]])=5, 0, $F23-$F22)</f>
        <v>1.8299999999999983</v>
      </c>
      <c r="N23" s="46">
        <f>MAX(tbl_RCL[[#This Row],[Move]],0)</f>
        <v>1.8299999999999983</v>
      </c>
      <c r="O23" s="46">
        <f>MAX(-tbl_RCL[[#This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0.94642857142857195</v>
      </c>
      <c r="Q23" s="46">
        <f ca="1">IF(ROW($O23)-5&lt;RSI_Periods, "", AVERAGE(INDIRECT(ADDRESS(ROW($O23)-RSI_Periods +1, MATCH("Downmove", Price_Header,0))): INDIRECT(ADDRESS(ROW($O23),MATCH("Downmove", Price_Header,0)))))</f>
        <v>0.25357142857142889</v>
      </c>
      <c r="R23" s="46">
        <f ca="1">IF(tbl_RCL[[#This Row],[Avg_Upmove]]="", "", tbl_RCL[[#This Row],[Avg_Upmove]]/tbl_RCL[[#This Row],[Avg_Downmove]])</f>
        <v>3.7323943661971803</v>
      </c>
      <c r="S23" s="10">
        <f ca="1">IF(ROW($N23)-4&lt;BB_Periods, "", _xlfn.STDEV.S(INDIRECT(ADDRESS(ROW($F23)-RSI_Periods +1, MATCH("Adj Close", Price_Header,0))): INDIRECT(ADDRESS(ROW($F23),MATCH("Adj Close", Price_Header,0)))))</f>
        <v>3.7489172063117411</v>
      </c>
    </row>
    <row r="24" spans="1:19" x14ac:dyDescent="0.35">
      <c r="A24" s="8">
        <v>44078</v>
      </c>
      <c r="B24" s="10">
        <v>72.47</v>
      </c>
      <c r="C24" s="10">
        <v>73.12</v>
      </c>
      <c r="D24" s="10">
        <v>68.58</v>
      </c>
      <c r="E24" s="10">
        <v>71.95</v>
      </c>
      <c r="F24" s="10">
        <v>71.95</v>
      </c>
      <c r="G24">
        <v>7898800</v>
      </c>
      <c r="H24" s="10">
        <f>IF(tbl_RCL[[#This Row],[Date]]=$A$5, $F24, EMA_Beta*$H23 + (1-EMA_Beta)*$F24)</f>
        <v>65.123574140483115</v>
      </c>
      <c r="I24" s="46">
        <f ca="1">IF(tbl_RCL[[#This Row],[RS]]= "", "", 100-(100/(1+tbl_RCL[[#This Row],[RS]])))</f>
        <v>81.788440567066516</v>
      </c>
      <c r="J24" s="10">
        <f ca="1">IF(ROW($N24)-4&lt;BB_Periods, "", AVERAGE(INDIRECT(ADDRESS(ROW($F24)-RSI_Periods +1, MATCH("Adj Close", Price_Header,0))): INDIRECT(ADDRESS(ROW($F24),MATCH("Adj Close", Price_Header,0)))))</f>
        <v>65.748571428571438</v>
      </c>
      <c r="K24" s="10">
        <f ca="1">IF(tbl_RCL[[#This Row],[BB_Mean]]="", "", tbl_RCL[[#This Row],[BB_Mean]]+(BB_Width*tbl_RCL[[#This Row],[BB_Stdev]]))</f>
        <v>73.614364389303304</v>
      </c>
      <c r="L24" s="10">
        <f ca="1">IF(tbl_RCL[[#This Row],[BB_Mean]]="", "", tbl_RCL[[#This Row],[BB_Mean]]-(BB_Width*tbl_RCL[[#This Row],[BB_Stdev]]))</f>
        <v>57.882778467839572</v>
      </c>
      <c r="M24" s="46">
        <f>IF(ROW(tbl_RCL[[#This Row],[Adj Close]])=5, 0, $F24-$F23)</f>
        <v>1.75</v>
      </c>
      <c r="N24" s="46">
        <f>MAX(tbl_RCL[[#This Row],[Move]],0)</f>
        <v>1.75</v>
      </c>
      <c r="O24" s="46">
        <f>MAX(-tbl_RCL[[#This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1.0714285714285718</v>
      </c>
      <c r="Q24" s="46">
        <f ca="1">IF(ROW($O24)-5&lt;RSI_Periods, "", AVERAGE(INDIRECT(ADDRESS(ROW($O24)-RSI_Periods +1, MATCH("Downmove", Price_Header,0))): INDIRECT(ADDRESS(ROW($O24),MATCH("Downmove", Price_Header,0)))))</f>
        <v>0.23857142857142882</v>
      </c>
      <c r="R24" s="46">
        <f ca="1">IF(tbl_RCL[[#This Row],[Avg_Upmove]]="", "", tbl_RCL[[#This Row],[Avg_Upmove]]/tbl_RCL[[#This Row],[Avg_Downmove]])</f>
        <v>4.4910179640718537</v>
      </c>
      <c r="S24" s="10">
        <f ca="1">IF(ROW($N24)-4&lt;BB_Periods, "", _xlfn.STDEV.S(INDIRECT(ADDRESS(ROW($F24)-RSI_Periods +1, MATCH("Adj Close", Price_Header,0))): INDIRECT(ADDRESS(ROW($F24),MATCH("Adj Close", Price_Header,0)))))</f>
        <v>3.9328964803659323</v>
      </c>
    </row>
    <row r="25" spans="1:19" x14ac:dyDescent="0.35">
      <c r="A25" s="8">
        <v>44082</v>
      </c>
      <c r="B25" s="10">
        <v>70.02</v>
      </c>
      <c r="C25" s="10">
        <v>73.5</v>
      </c>
      <c r="D25" s="10">
        <v>69.55</v>
      </c>
      <c r="E25" s="10">
        <v>71.510000000000005</v>
      </c>
      <c r="F25" s="10">
        <v>71.510000000000005</v>
      </c>
      <c r="G25">
        <v>7383800</v>
      </c>
      <c r="H25" s="10">
        <f>IF(tbl_RCL[[#This Row],[Date]]=$A$5, $F25, EMA_Beta*$H24 + (1-EMA_Beta)*$F25)</f>
        <v>65.762216726434801</v>
      </c>
      <c r="I25" s="46">
        <f ca="1">IF(tbl_RCL[[#This Row],[RS]]= "", "", 100-(100/(1+tbl_RCL[[#This Row],[RS]])))</f>
        <v>79.753615425816818</v>
      </c>
      <c r="J25" s="10">
        <f ca="1">IF(ROW($N25)-4&lt;BB_Periods, "", AVERAGE(INDIRECT(ADDRESS(ROW($F25)-RSI_Periods +1, MATCH("Adj Close", Price_Header,0))): INDIRECT(ADDRESS(ROW($F25),MATCH("Adj Close", Price_Header,0)))))</f>
        <v>66.542142857142863</v>
      </c>
      <c r="K25" s="10">
        <f ca="1">IF(tbl_RCL[[#This Row],[BB_Mean]]="", "", tbl_RCL[[#This Row],[BB_Mean]]+(BB_Width*tbl_RCL[[#This Row],[BB_Stdev]]))</f>
        <v>74.324767206181036</v>
      </c>
      <c r="L25" s="10">
        <f ca="1">IF(tbl_RCL[[#This Row],[BB_Mean]]="", "", tbl_RCL[[#This Row],[BB_Mean]]-(BB_Width*tbl_RCL[[#This Row],[BB_Stdev]]))</f>
        <v>58.759518508104691</v>
      </c>
      <c r="M25" s="46">
        <f>IF(ROW(tbl_RCL[[#This Row],[Adj Close]])=5, 0, $F25-$F24)</f>
        <v>-0.43999999999999773</v>
      </c>
      <c r="N25" s="46">
        <f>MAX(tbl_RCL[[#This Row],[Move]],0)</f>
        <v>0</v>
      </c>
      <c r="O25" s="46">
        <f>MAX(-tbl_RCL[[#This Row],[Move]],0)</f>
        <v>0.43999999999999773</v>
      </c>
      <c r="P25" s="46">
        <f ca="1">IF(ROW($N25)-5&lt;RSI_Periods, "", AVERAGE(INDIRECT(ADDRESS(ROW($N25)-RSI_Periods +1, MATCH("Upmove", Price_Header,0))): INDIRECT(ADDRESS(ROW($N25),MATCH("Upmove", Price_Header,0)))))</f>
        <v>1.0635714285714291</v>
      </c>
      <c r="Q25" s="46">
        <f ca="1">IF(ROW($O25)-5&lt;RSI_Periods, "", AVERAGE(INDIRECT(ADDRESS(ROW($O25)-RSI_Periods +1, MATCH("Downmove", Price_Header,0))): INDIRECT(ADDRESS(ROW($O25),MATCH("Downmove", Price_Header,0)))))</f>
        <v>0.27000000000000007</v>
      </c>
      <c r="R25" s="46">
        <f ca="1">IF(tbl_RCL[[#This Row],[Avg_Upmove]]="", "", tbl_RCL[[#This Row],[Avg_Upmove]]/tbl_RCL[[#This Row],[Avg_Downmove]])</f>
        <v>3.93915343915344</v>
      </c>
      <c r="S25" s="10">
        <f ca="1">IF(ROW($N25)-4&lt;BB_Periods, "", _xlfn.STDEV.S(INDIRECT(ADDRESS(ROW($F25)-RSI_Periods +1, MATCH("Adj Close", Price_Header,0))): INDIRECT(ADDRESS(ROW($F25),MATCH("Adj Close", Price_Header,0)))))</f>
        <v>3.8913121745190851</v>
      </c>
    </row>
    <row r="26" spans="1:19" x14ac:dyDescent="0.35">
      <c r="A26" s="8">
        <v>44083</v>
      </c>
      <c r="B26" s="10">
        <v>70.62</v>
      </c>
      <c r="C26" s="10">
        <v>79.8</v>
      </c>
      <c r="D26" s="10">
        <v>67.61</v>
      </c>
      <c r="E26" s="10">
        <v>70.11</v>
      </c>
      <c r="F26" s="10">
        <v>70.11</v>
      </c>
      <c r="G26">
        <v>6760600</v>
      </c>
      <c r="H26" s="10">
        <f>IF(tbl_RCL[[#This Row],[Date]]=$A$5, $F26, EMA_Beta*$H25 + (1-EMA_Beta)*$F26)</f>
        <v>66.196995053791326</v>
      </c>
      <c r="I26" s="46">
        <f ca="1">IF(tbl_RCL[[#This Row],[RS]]= "", "", 100-(100/(1+tbl_RCL[[#This Row],[RS]])))</f>
        <v>73.271413828689347</v>
      </c>
      <c r="J26" s="10">
        <f ca="1">IF(ROW($N26)-4&lt;BB_Periods, "", AVERAGE(INDIRECT(ADDRESS(ROW($F26)-RSI_Periods +1, MATCH("Adj Close", Price_Header,0))): INDIRECT(ADDRESS(ROW($F26),MATCH("Adj Close", Price_Header,0)))))</f>
        <v>67.186428571428578</v>
      </c>
      <c r="K26" s="10">
        <f ca="1">IF(tbl_RCL[[#This Row],[BB_Mean]]="", "", tbl_RCL[[#This Row],[BB_Mean]]+(BB_Width*tbl_RCL[[#This Row],[BB_Stdev]]))</f>
        <v>74.504316485060727</v>
      </c>
      <c r="L26" s="10">
        <f ca="1">IF(tbl_RCL[[#This Row],[BB_Mean]]="", "", tbl_RCL[[#This Row],[BB_Mean]]-(BB_Width*tbl_RCL[[#This Row],[BB_Stdev]]))</f>
        <v>59.868540657796423</v>
      </c>
      <c r="M26" s="46">
        <f>IF(ROW(tbl_RCL[[#This Row],[Adj Close]])=5, 0, $F26-$F25)</f>
        <v>-1.4000000000000057</v>
      </c>
      <c r="N26" s="46">
        <f>MAX(tbl_RCL[[#This Row],[Move]],0)</f>
        <v>0</v>
      </c>
      <c r="O26" s="46">
        <f>MAX(-tbl_RCL[[#This Row],[Move]],0)</f>
        <v>1.4000000000000057</v>
      </c>
      <c r="P26" s="46">
        <f ca="1">IF(ROW($N26)-5&lt;RSI_Periods, "", AVERAGE(INDIRECT(ADDRESS(ROW($N26)-RSI_Periods +1, MATCH("Upmove", Price_Header,0))): INDIRECT(ADDRESS(ROW($N26),MATCH("Upmove", Price_Header,0)))))</f>
        <v>1.0142857142857145</v>
      </c>
      <c r="Q26" s="46">
        <f ca="1">IF(ROW($O26)-5&lt;RSI_Periods, "", AVERAGE(INDIRECT(ADDRESS(ROW($O26)-RSI_Periods +1, MATCH("Downmove", Price_Header,0))): INDIRECT(ADDRESS(ROW($O26),MATCH("Downmove", Price_Header,0)))))</f>
        <v>0.3700000000000005</v>
      </c>
      <c r="R26" s="46">
        <f ca="1">IF(tbl_RCL[[#This Row],[Avg_Upmove]]="", "", tbl_RCL[[#This Row],[Avg_Upmove]]/tbl_RCL[[#This Row],[Avg_Downmove]])</f>
        <v>2.7413127413127381</v>
      </c>
      <c r="S26" s="10">
        <f ca="1">IF(ROW($N26)-4&lt;BB_Periods, "", _xlfn.STDEV.S(INDIRECT(ADDRESS(ROW($F26)-RSI_Periods +1, MATCH("Adj Close", Price_Header,0))): INDIRECT(ADDRESS(ROW($F26),MATCH("Adj Close", Price_Header,0)))))</f>
        <v>3.6589439568160764</v>
      </c>
    </row>
    <row r="27" spans="1:19" x14ac:dyDescent="0.35">
      <c r="A27" s="8">
        <v>44084</v>
      </c>
      <c r="B27" s="10">
        <v>70.73</v>
      </c>
      <c r="C27" s="10">
        <v>74.069999999999993</v>
      </c>
      <c r="D27" s="10">
        <v>70.09</v>
      </c>
      <c r="E27" s="10">
        <v>70.14</v>
      </c>
      <c r="F27" s="10">
        <v>70.14</v>
      </c>
      <c r="G27">
        <v>6334400</v>
      </c>
      <c r="H27" s="10">
        <f>IF(tbl_RCL[[#This Row],[Date]]=$A$5, $F27, EMA_Beta*$H26 + (1-EMA_Beta)*$F27)</f>
        <v>66.591295548412191</v>
      </c>
      <c r="I27" s="46">
        <f ca="1">IF(tbl_RCL[[#This Row],[RS]]= "", "", 100-(100/(1+tbl_RCL[[#This Row],[RS]])))</f>
        <v>72.693726937269361</v>
      </c>
      <c r="J27" s="10">
        <f ca="1">IF(ROW($N27)-4&lt;BB_Periods, "", AVERAGE(INDIRECT(ADDRESS(ROW($F27)-RSI_Periods +1, MATCH("Adj Close", Price_Header,0))): INDIRECT(ADDRESS(ROW($F27),MATCH("Adj Close", Price_Header,0)))))</f>
        <v>67.801428571428588</v>
      </c>
      <c r="K27" s="10">
        <f ca="1">IF(tbl_RCL[[#This Row],[BB_Mean]]="", "", tbl_RCL[[#This Row],[BB_Mean]]+(BB_Width*tbl_RCL[[#This Row],[BB_Stdev]]))</f>
        <v>74.491848161089194</v>
      </c>
      <c r="L27" s="10">
        <f ca="1">IF(tbl_RCL[[#This Row],[BB_Mean]]="", "", tbl_RCL[[#This Row],[BB_Mean]]-(BB_Width*tbl_RCL[[#This Row],[BB_Stdev]]))</f>
        <v>61.111008981767988</v>
      </c>
      <c r="M27" s="46">
        <f>IF(ROW(tbl_RCL[[#This Row],[Adj Close]])=5, 0, $F27-$F26)</f>
        <v>3.0000000000001137E-2</v>
      </c>
      <c r="N27" s="46">
        <f>MAX(tbl_RCL[[#This Row],[Move]],0)</f>
        <v>3.0000000000001137E-2</v>
      </c>
      <c r="O27" s="46">
        <f>MAX(-tbl_RCL[[#This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0.98500000000000043</v>
      </c>
      <c r="Q27" s="46">
        <f ca="1">IF(ROW($O27)-5&lt;RSI_Periods, "", AVERAGE(INDIRECT(ADDRESS(ROW($O27)-RSI_Periods +1, MATCH("Downmove", Price_Header,0))): INDIRECT(ADDRESS(ROW($O27),MATCH("Downmove", Price_Header,0)))))</f>
        <v>0.3700000000000005</v>
      </c>
      <c r="R27" s="46">
        <f ca="1">IF(tbl_RCL[[#This Row],[Avg_Upmove]]="", "", tbl_RCL[[#This Row],[Avg_Upmove]]/tbl_RCL[[#This Row],[Avg_Downmove]])</f>
        <v>2.6621621621621596</v>
      </c>
      <c r="S27" s="10">
        <f ca="1">IF(ROW($N27)-4&lt;BB_Periods, "", _xlfn.STDEV.S(INDIRECT(ADDRESS(ROW($F27)-RSI_Periods +1, MATCH("Adj Close", Price_Header,0))): INDIRECT(ADDRESS(ROW($F27),MATCH("Adj Close", Price_Header,0)))))</f>
        <v>3.3452097948302999</v>
      </c>
    </row>
    <row r="28" spans="1:19" x14ac:dyDescent="0.35">
      <c r="A28" s="8">
        <v>44085</v>
      </c>
      <c r="B28" s="10">
        <v>70.489999999999995</v>
      </c>
      <c r="C28" s="10">
        <v>70.58</v>
      </c>
      <c r="D28" s="10">
        <v>68.150000000000006</v>
      </c>
      <c r="E28" s="10">
        <v>69.34</v>
      </c>
      <c r="F28" s="10">
        <v>69.34</v>
      </c>
      <c r="G28">
        <v>4109400</v>
      </c>
      <c r="H28" s="10">
        <f>IF(tbl_RCL[[#This Row],[Date]]=$A$5, $F28, EMA_Beta*$H27 + (1-EMA_Beta)*$F28)</f>
        <v>66.866165993570974</v>
      </c>
      <c r="I28" s="46">
        <f ca="1">IF(tbl_RCL[[#This Row],[RS]]= "", "", 100-(100/(1+tbl_RCL[[#This Row],[RS]])))</f>
        <v>69.752149721800706</v>
      </c>
      <c r="J28" s="10">
        <f ca="1">IF(ROW($N28)-4&lt;BB_Periods, "", AVERAGE(INDIRECT(ADDRESS(ROW($F28)-RSI_Periods +1, MATCH("Adj Close", Price_Header,0))): INDIRECT(ADDRESS(ROW($F28),MATCH("Adj Close", Price_Header,0)))))</f>
        <v>68.359285714285718</v>
      </c>
      <c r="K28" s="10">
        <f ca="1">IF(tbl_RCL[[#This Row],[BB_Mean]]="", "", tbl_RCL[[#This Row],[BB_Mean]]+(BB_Width*tbl_RCL[[#This Row],[BB_Stdev]]))</f>
        <v>74.0203563620626</v>
      </c>
      <c r="L28" s="10">
        <f ca="1">IF(tbl_RCL[[#This Row],[BB_Mean]]="", "", tbl_RCL[[#This Row],[BB_Mean]]-(BB_Width*tbl_RCL[[#This Row],[BB_Stdev]]))</f>
        <v>62.698215066508844</v>
      </c>
      <c r="M28" s="46">
        <f>IF(ROW(tbl_RCL[[#This Row],[Adj Close]])=5, 0, $F28-$F27)</f>
        <v>-0.79999999999999716</v>
      </c>
      <c r="N28" s="46">
        <f>MAX(tbl_RCL[[#This Row],[Move]],0)</f>
        <v>0</v>
      </c>
      <c r="O28" s="46">
        <f>MAX(-tbl_RCL[[#This Row],[Move]],0)</f>
        <v>0.79999999999999716</v>
      </c>
      <c r="P28" s="46">
        <f ca="1">IF(ROW($N28)-5&lt;RSI_Periods, "", AVERAGE(INDIRECT(ADDRESS(ROW($N28)-RSI_Periods +1, MATCH("Upmove", Price_Header,0))): INDIRECT(ADDRESS(ROW($N28),MATCH("Upmove", Price_Header,0)))))</f>
        <v>0.98500000000000043</v>
      </c>
      <c r="Q28" s="46">
        <f ca="1">IF(ROW($O28)-5&lt;RSI_Periods, "", AVERAGE(INDIRECT(ADDRESS(ROW($O28)-RSI_Periods +1, MATCH("Downmove", Price_Header,0))): INDIRECT(ADDRESS(ROW($O28),MATCH("Downmove", Price_Header,0)))))</f>
        <v>0.42714285714285744</v>
      </c>
      <c r="R28" s="46">
        <f ca="1">IF(tbl_RCL[[#This Row],[Avg_Upmove]]="", "", tbl_RCL[[#This Row],[Avg_Upmove]]/tbl_RCL[[#This Row],[Avg_Downmove]])</f>
        <v>2.3060200668896313</v>
      </c>
      <c r="S28" s="10">
        <f ca="1">IF(ROW($N28)-4&lt;BB_Periods, "", _xlfn.STDEV.S(INDIRECT(ADDRESS(ROW($F28)-RSI_Periods +1, MATCH("Adj Close", Price_Header,0))): INDIRECT(ADDRESS(ROW($F28),MATCH("Adj Close", Price_Header,0)))))</f>
        <v>2.8305353238884381</v>
      </c>
    </row>
    <row r="29" spans="1:19" x14ac:dyDescent="0.35">
      <c r="A29" s="8">
        <v>44088</v>
      </c>
      <c r="B29" s="10">
        <v>70.33</v>
      </c>
      <c r="C29" s="10">
        <v>70.58</v>
      </c>
      <c r="D29" s="10">
        <v>68.150000000000006</v>
      </c>
      <c r="E29" s="10">
        <v>69.34</v>
      </c>
      <c r="F29" s="10">
        <v>69.34</v>
      </c>
      <c r="G29">
        <v>4109400</v>
      </c>
      <c r="H29" s="10">
        <f>IF(tbl_RCL[[#This Row],[Date]]=$A$5, $F29, EMA_Beta*$H28 + (1-EMA_Beta)*$F29)</f>
        <v>67.113549394213877</v>
      </c>
      <c r="I29" s="46">
        <f ca="1">IF(tbl_RCL[[#This Row],[RS]]= "", "", 100-(100/(1+tbl_RCL[[#This Row],[RS]])))</f>
        <v>64.552459988144619</v>
      </c>
      <c r="J29" s="10">
        <f ca="1">IF(ROW($N29)-4&lt;BB_Periods, "", AVERAGE(INDIRECT(ADDRESS(ROW($F29)-RSI_Periods +1, MATCH("Adj Close", Price_Header,0))): INDIRECT(ADDRESS(ROW($F29),MATCH("Adj Close", Price_Header,0)))))</f>
        <v>68.710000000000008</v>
      </c>
      <c r="K29" s="10">
        <f ca="1">IF(tbl_RCL[[#This Row],[BB_Mean]]="", "", tbl_RCL[[#This Row],[BB_Mean]]+(BB_Width*tbl_RCL[[#This Row],[BB_Stdev]]))</f>
        <v>73.912236205562152</v>
      </c>
      <c r="L29" s="10">
        <f ca="1">IF(tbl_RCL[[#This Row],[BB_Mean]]="", "", tbl_RCL[[#This Row],[BB_Mean]]-(BB_Width*tbl_RCL[[#This Row],[BB_Stdev]]))</f>
        <v>63.507763794437871</v>
      </c>
      <c r="M29" s="46">
        <f>IF(ROW(tbl_RCL[[#This Row],[Adj Close]])=5, 0, $F29-$F28)</f>
        <v>0</v>
      </c>
      <c r="N29" s="46">
        <f>MAX(tbl_RCL[[#This Row],[Move]],0)</f>
        <v>0</v>
      </c>
      <c r="O29" s="46">
        <f>MAX(-tbl_RCL[[#This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0.77785714285714291</v>
      </c>
      <c r="Q29" s="46">
        <f ca="1">IF(ROW($O29)-5&lt;RSI_Periods, "", AVERAGE(INDIRECT(ADDRESS(ROW($O29)-RSI_Periods +1, MATCH("Downmove", Price_Header,0))): INDIRECT(ADDRESS(ROW($O29),MATCH("Downmove", Price_Header,0)))))</f>
        <v>0.42714285714285744</v>
      </c>
      <c r="R29" s="46">
        <f ca="1">IF(tbl_RCL[[#This Row],[Avg_Upmove]]="", "", tbl_RCL[[#This Row],[Avg_Upmove]]/tbl_RCL[[#This Row],[Avg_Downmove]])</f>
        <v>1.8210702341137113</v>
      </c>
      <c r="S29" s="10">
        <f ca="1">IF(ROW($N29)-4&lt;BB_Periods, "", _xlfn.STDEV.S(INDIRECT(ADDRESS(ROW($F29)-RSI_Periods +1, MATCH("Adj Close", Price_Header,0))): INDIRECT(ADDRESS(ROW($F29),MATCH("Adj Close", Price_Header,0)))))</f>
        <v>2.6011181027810699</v>
      </c>
    </row>
    <row r="30" spans="1:19" x14ac:dyDescent="0.35">
      <c r="A30" s="8">
        <v>44089</v>
      </c>
      <c r="B30" s="10">
        <v>70.69</v>
      </c>
      <c r="C30" s="10">
        <v>70.84</v>
      </c>
      <c r="D30" s="10">
        <v>66.94</v>
      </c>
      <c r="E30" s="10">
        <v>67.69</v>
      </c>
      <c r="F30" s="10">
        <v>67.69</v>
      </c>
      <c r="G30">
        <v>8654800</v>
      </c>
      <c r="H30" s="10">
        <f>IF(tbl_RCL[[#This Row],[Date]]=$A$5, $F30, EMA_Beta*$H29 + (1-EMA_Beta)*$F30)</f>
        <v>67.171194454792499</v>
      </c>
      <c r="I30" s="46">
        <f ca="1">IF(tbl_RCL[[#This Row],[RS]]= "", "", 100-(100/(1+tbl_RCL[[#This Row],[RS]])))</f>
        <v>59.966960352422923</v>
      </c>
      <c r="J30" s="10">
        <f ca="1">IF(ROW($N30)-4&lt;BB_Periods, "", AVERAGE(INDIRECT(ADDRESS(ROW($F30)-RSI_Periods +1, MATCH("Adj Close", Price_Header,0))): INDIRECT(ADDRESS(ROW($F30),MATCH("Adj Close", Price_Header,0)))))</f>
        <v>68.968571428571423</v>
      </c>
      <c r="K30" s="10">
        <f ca="1">IF(tbl_RCL[[#This Row],[BB_Mean]]="", "", tbl_RCL[[#This Row],[BB_Mean]]+(BB_Width*tbl_RCL[[#This Row],[BB_Stdev]]))</f>
        <v>73.493047477406634</v>
      </c>
      <c r="L30" s="10">
        <f ca="1">IF(tbl_RCL[[#This Row],[BB_Mean]]="", "", tbl_RCL[[#This Row],[BB_Mean]]-(BB_Width*tbl_RCL[[#This Row],[BB_Stdev]]))</f>
        <v>64.444095379736211</v>
      </c>
      <c r="M30" s="46">
        <f>IF(ROW(tbl_RCL[[#This Row],[Adj Close]])=5, 0, $F30-$F29)</f>
        <v>-1.6500000000000057</v>
      </c>
      <c r="N30" s="46">
        <f>MAX(tbl_RCL[[#This Row],[Move]],0)</f>
        <v>0</v>
      </c>
      <c r="O30" s="46">
        <f>MAX(-tbl_RCL[[#This Row],[Move]],0)</f>
        <v>1.6500000000000057</v>
      </c>
      <c r="P30" s="46">
        <f ca="1">IF(ROW($N30)-5&lt;RSI_Periods, "", AVERAGE(INDIRECT(ADDRESS(ROW($N30)-RSI_Periods +1, MATCH("Upmove", Price_Header,0))): INDIRECT(ADDRESS(ROW($N30),MATCH("Upmove", Price_Header,0)))))</f>
        <v>0.77785714285714291</v>
      </c>
      <c r="Q30" s="46">
        <f ca="1">IF(ROW($O30)-5&lt;RSI_Periods, "", AVERAGE(INDIRECT(ADDRESS(ROW($O30)-RSI_Periods +1, MATCH("Downmove", Price_Header,0))): INDIRECT(ADDRESS(ROW($O30),MATCH("Downmove", Price_Header,0)))))</f>
        <v>0.51928571428571402</v>
      </c>
      <c r="R30" s="46">
        <f ca="1">IF(tbl_RCL[[#This Row],[Avg_Upmove]]="", "", tbl_RCL[[#This Row],[Avg_Upmove]]/tbl_RCL[[#This Row],[Avg_Downmove]])</f>
        <v>1.4979367262723531</v>
      </c>
      <c r="S30" s="10">
        <f ca="1">IF(ROW($N30)-4&lt;BB_Periods, "", _xlfn.STDEV.S(INDIRECT(ADDRESS(ROW($F30)-RSI_Periods +1, MATCH("Adj Close", Price_Header,0))): INDIRECT(ADDRESS(ROW($F30),MATCH("Adj Close", Price_Header,0)))))</f>
        <v>2.2622380244176079</v>
      </c>
    </row>
    <row r="31" spans="1:19" x14ac:dyDescent="0.35">
      <c r="A31" s="8">
        <v>44090</v>
      </c>
      <c r="B31" s="10">
        <v>67.69</v>
      </c>
      <c r="C31" s="10">
        <v>71.25</v>
      </c>
      <c r="D31" s="10">
        <v>67</v>
      </c>
      <c r="E31" s="10">
        <v>69.61</v>
      </c>
      <c r="F31" s="10">
        <v>69.61</v>
      </c>
      <c r="G31">
        <v>6676100</v>
      </c>
      <c r="H31" s="10">
        <f>IF(tbl_RCL[[#This Row],[Date]]=$A$5, $F31, EMA_Beta*$H30 + (1-EMA_Beta)*$F31)</f>
        <v>67.415075009313256</v>
      </c>
      <c r="I31" s="46">
        <f ca="1">IF(tbl_RCL[[#This Row],[RS]]= "", "", 100-(100/(1+tbl_RCL[[#This Row],[RS]])))</f>
        <v>67.957559681697589</v>
      </c>
      <c r="J31" s="10">
        <f ca="1">IF(ROW($N31)-4&lt;BB_Periods, "", AVERAGE(INDIRECT(ADDRESS(ROW($F31)-RSI_Periods +1, MATCH("Adj Close", Price_Header,0))): INDIRECT(ADDRESS(ROW($F31),MATCH("Adj Close", Price_Header,0)))))</f>
        <v>69.45214285714286</v>
      </c>
      <c r="K31" s="10">
        <f ca="1">IF(tbl_RCL[[#This Row],[BB_Mean]]="", "", tbl_RCL[[#This Row],[BB_Mean]]+(BB_Width*tbl_RCL[[#This Row],[BB_Stdev]]))</f>
        <v>72.286472826223104</v>
      </c>
      <c r="L31" s="10">
        <f ca="1">IF(tbl_RCL[[#This Row],[BB_Mean]]="", "", tbl_RCL[[#This Row],[BB_Mean]]-(BB_Width*tbl_RCL[[#This Row],[BB_Stdev]]))</f>
        <v>66.617812888062616</v>
      </c>
      <c r="M31" s="46">
        <f>IF(ROW(tbl_RCL[[#This Row],[Adj Close]])=5, 0, $F31-$F30)</f>
        <v>1.9200000000000017</v>
      </c>
      <c r="N31" s="46">
        <f>MAX(tbl_RCL[[#This Row],[Move]],0)</f>
        <v>1.9200000000000017</v>
      </c>
      <c r="O31" s="46">
        <f>MAX(-tbl_RCL[[#This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0.91500000000000015</v>
      </c>
      <c r="Q31" s="46">
        <f ca="1">IF(ROW($O31)-5&lt;RSI_Periods, "", AVERAGE(INDIRECT(ADDRESS(ROW($O31)-RSI_Periods +1, MATCH("Downmove", Price_Header,0))): INDIRECT(ADDRESS(ROW($O31),MATCH("Downmove", Price_Header,0)))))</f>
        <v>0.43142857142857188</v>
      </c>
      <c r="R31" s="46">
        <f ca="1">IF(tbl_RCL[[#This Row],[Avg_Upmove]]="", "", tbl_RCL[[#This Row],[Avg_Upmove]]/tbl_RCL[[#This Row],[Avg_Downmove]])</f>
        <v>2.1208609271523158</v>
      </c>
      <c r="S31" s="10">
        <f ca="1">IF(ROW($N31)-4&lt;BB_Periods, "", _xlfn.STDEV.S(INDIRECT(ADDRESS(ROW($F31)-RSI_Periods +1, MATCH("Adj Close", Price_Header,0))): INDIRECT(ADDRESS(ROW($F31),MATCH("Adj Close", Price_Header,0)))))</f>
        <v>1.4171649845401197</v>
      </c>
    </row>
    <row r="32" spans="1:19" x14ac:dyDescent="0.35">
      <c r="A32" s="8">
        <v>44091</v>
      </c>
      <c r="B32" s="10">
        <v>68.05</v>
      </c>
      <c r="C32" s="10">
        <v>70.42</v>
      </c>
      <c r="D32" s="10">
        <v>67.510000000000005</v>
      </c>
      <c r="E32" s="10">
        <v>68.75</v>
      </c>
      <c r="F32" s="10">
        <v>68.75</v>
      </c>
      <c r="G32">
        <v>5638300</v>
      </c>
      <c r="H32" s="10">
        <f>IF(tbl_RCL[[#This Row],[Date]]=$A$5, $F32, EMA_Beta*$H31 + (1-EMA_Beta)*$F32)</f>
        <v>67.548567508381922</v>
      </c>
      <c r="I32" s="46">
        <f ca="1">IF(tbl_RCL[[#This Row],[RS]]= "", "", 100-(100/(1+tbl_RCL[[#This Row],[RS]])))</f>
        <v>56.739811912225711</v>
      </c>
      <c r="J32" s="10">
        <f ca="1">IF(ROW($N32)-4&lt;BB_Periods, "", AVERAGE(INDIRECT(ADDRESS(ROW($F32)-RSI_Periods +1, MATCH("Adj Close", Price_Header,0))): INDIRECT(ADDRESS(ROW($F32),MATCH("Adj Close", Price_Header,0)))))</f>
        <v>69.605714285714299</v>
      </c>
      <c r="K32" s="10">
        <f ca="1">IF(tbl_RCL[[#This Row],[BB_Mean]]="", "", tbl_RCL[[#This Row],[BB_Mean]]+(BB_Width*tbl_RCL[[#This Row],[BB_Stdev]]))</f>
        <v>71.9680301544618</v>
      </c>
      <c r="L32" s="10">
        <f ca="1">IF(tbl_RCL[[#This Row],[BB_Mean]]="", "", tbl_RCL[[#This Row],[BB_Mean]]-(BB_Width*tbl_RCL[[#This Row],[BB_Stdev]]))</f>
        <v>67.243398416966798</v>
      </c>
      <c r="M32" s="46">
        <f>IF(ROW(tbl_RCL[[#This Row],[Adj Close]])=5, 0, $F32-$F31)</f>
        <v>-0.85999999999999943</v>
      </c>
      <c r="N32" s="46">
        <f>MAX(tbl_RCL[[#This Row],[Move]],0)</f>
        <v>0</v>
      </c>
      <c r="O32" s="46">
        <f>MAX(-tbl_RCL[[#This Row],[Move]],0)</f>
        <v>0.85999999999999943</v>
      </c>
      <c r="P32" s="46">
        <f ca="1">IF(ROW($N32)-5&lt;RSI_Periods, "", AVERAGE(INDIRECT(ADDRESS(ROW($N32)-RSI_Periods +1, MATCH("Upmove", Price_Header,0))): INDIRECT(ADDRESS(ROW($N32),MATCH("Upmove", Price_Header,0)))))</f>
        <v>0.64642857142857224</v>
      </c>
      <c r="Q32" s="46">
        <f ca="1">IF(ROW($O32)-5&lt;RSI_Periods, "", AVERAGE(INDIRECT(ADDRESS(ROW($O32)-RSI_Periods +1, MATCH("Downmove", Price_Header,0))): INDIRECT(ADDRESS(ROW($O32),MATCH("Downmove", Price_Header,0)))))</f>
        <v>0.49285714285714327</v>
      </c>
      <c r="R32" s="46">
        <f ca="1">IF(tbl_RCL[[#This Row],[Avg_Upmove]]="", "", tbl_RCL[[#This Row],[Avg_Upmove]]/tbl_RCL[[#This Row],[Avg_Downmove]])</f>
        <v>1.3115942028985512</v>
      </c>
      <c r="S32" s="10">
        <f ca="1">IF(ROW($N32)-4&lt;BB_Periods, "", _xlfn.STDEV.S(INDIRECT(ADDRESS(ROW($F32)-RSI_Periods +1, MATCH("Adj Close", Price_Header,0))): INDIRECT(ADDRESS(ROW($F32),MATCH("Adj Close", Price_Header,0)))))</f>
        <v>1.1811579343737515</v>
      </c>
    </row>
    <row r="33" spans="1:19" x14ac:dyDescent="0.35">
      <c r="A33" s="8">
        <v>44092</v>
      </c>
      <c r="B33" s="10">
        <v>68.5</v>
      </c>
      <c r="C33" s="10">
        <v>69.08</v>
      </c>
      <c r="D33" s="10">
        <v>64.52</v>
      </c>
      <c r="E33" s="10">
        <v>65.45</v>
      </c>
      <c r="F33" s="10">
        <v>65.45</v>
      </c>
      <c r="G33">
        <v>9855000</v>
      </c>
      <c r="H33" s="10">
        <f>IF(tbl_RCL[[#This Row],[Date]]=$A$5, $F33, EMA_Beta*$H32 + (1-EMA_Beta)*$F33)</f>
        <v>67.338710757543723</v>
      </c>
      <c r="I33" s="46">
        <f ca="1">IF(tbl_RCL[[#This Row],[RS]]= "", "", 100-(100/(1+tbl_RCL[[#This Row],[RS]])))</f>
        <v>35.155753337571511</v>
      </c>
      <c r="J33" s="10">
        <f ca="1">IF(ROW($N33)-4&lt;BB_Periods, "", AVERAGE(INDIRECT(ADDRESS(ROW($F33)-RSI_Periods +1, MATCH("Adj Close", Price_Header,0))): INDIRECT(ADDRESS(ROW($F33),MATCH("Adj Close", Price_Header,0)))))</f>
        <v>69.272142857142867</v>
      </c>
      <c r="K33" s="10">
        <f ca="1">IF(tbl_RCL[[#This Row],[BB_Mean]]="", "", tbl_RCL[[#This Row],[BB_Mean]]+(BB_Width*tbl_RCL[[#This Row],[BB_Stdev]]))</f>
        <v>72.486745869564857</v>
      </c>
      <c r="L33" s="10">
        <f ca="1">IF(tbl_RCL[[#This Row],[BB_Mean]]="", "", tbl_RCL[[#This Row],[BB_Mean]]-(BB_Width*tbl_RCL[[#This Row],[BB_Stdev]]))</f>
        <v>66.057539844720878</v>
      </c>
      <c r="M33" s="46">
        <f>IF(ROW(tbl_RCL[[#This Row],[Adj Close]])=5, 0, $F33-$F32)</f>
        <v>-3.2999999999999972</v>
      </c>
      <c r="N33" s="46">
        <f>MAX(tbl_RCL[[#This Row],[Move]],0)</f>
        <v>0</v>
      </c>
      <c r="O33" s="46">
        <f>MAX(-tbl_RCL[[#This Row],[Move]],0)</f>
        <v>3.2999999999999972</v>
      </c>
      <c r="P33" s="46">
        <f ca="1">IF(ROW($N33)-5&lt;RSI_Periods, "", AVERAGE(INDIRECT(ADDRESS(ROW($N33)-RSI_Periods +1, MATCH("Upmove", Price_Header,0))): INDIRECT(ADDRESS(ROW($N33),MATCH("Upmove", Price_Header,0)))))</f>
        <v>0.39500000000000007</v>
      </c>
      <c r="Q33" s="46">
        <f ca="1">IF(ROW($O33)-5&lt;RSI_Periods, "", AVERAGE(INDIRECT(ADDRESS(ROW($O33)-RSI_Periods +1, MATCH("Downmove", Price_Header,0))): INDIRECT(ADDRESS(ROW($O33),MATCH("Downmove", Price_Header,0)))))</f>
        <v>0.72857142857142876</v>
      </c>
      <c r="R33" s="46">
        <f ca="1">IF(tbl_RCL[[#This Row],[Avg_Upmove]]="", "", tbl_RCL[[#This Row],[Avg_Upmove]]/tbl_RCL[[#This Row],[Avg_Downmove]])</f>
        <v>0.542156862745098</v>
      </c>
      <c r="S33" s="10">
        <f ca="1">IF(ROW($N33)-4&lt;BB_Periods, "", _xlfn.STDEV.S(INDIRECT(ADDRESS(ROW($F33)-RSI_Periods +1, MATCH("Adj Close", Price_Header,0))): INDIRECT(ADDRESS(ROW($F33),MATCH("Adj Close", Price_Header,0)))))</f>
        <v>1.607301506210995</v>
      </c>
    </row>
    <row r="34" spans="1:19" x14ac:dyDescent="0.35">
      <c r="A34" s="8">
        <v>44095</v>
      </c>
      <c r="B34" s="10">
        <v>62.09</v>
      </c>
      <c r="C34" s="10">
        <v>62.62</v>
      </c>
      <c r="D34" s="10">
        <v>59.12</v>
      </c>
      <c r="E34" s="10">
        <v>60.71</v>
      </c>
      <c r="F34" s="10">
        <v>60.71</v>
      </c>
      <c r="G34">
        <v>8709800</v>
      </c>
      <c r="H34" s="10">
        <f>IF(tbl_RCL[[#This Row],[Date]]=$A$5, $F34, EMA_Beta*$H33 + (1-EMA_Beta)*$F34)</f>
        <v>66.675839681789355</v>
      </c>
      <c r="I34" s="46">
        <f ca="1">IF(tbl_RCL[[#This Row],[RS]]= "", "", 100-(100/(1+tbl_RCL[[#This Row],[RS]])))</f>
        <v>28.817092235539349</v>
      </c>
      <c r="J34" s="10">
        <f ca="1">IF(ROW($N34)-4&lt;BB_Periods, "", AVERAGE(INDIRECT(ADDRESS(ROW($F34)-RSI_Periods +1, MATCH("Adj Close", Price_Header,0))): INDIRECT(ADDRESS(ROW($F34),MATCH("Adj Close", Price_Header,0)))))</f>
        <v>68.691428571428588</v>
      </c>
      <c r="K34" s="10">
        <f ca="1">IF(tbl_RCL[[#This Row],[BB_Mean]]="", "", tbl_RCL[[#This Row],[BB_Mean]]+(BB_Width*tbl_RCL[[#This Row],[BB_Stdev]]))</f>
        <v>74.29326265099084</v>
      </c>
      <c r="L34" s="10">
        <f ca="1">IF(tbl_RCL[[#This Row],[BB_Mean]]="", "", tbl_RCL[[#This Row],[BB_Mean]]-(BB_Width*tbl_RCL[[#This Row],[BB_Stdev]]))</f>
        <v>63.089594491866336</v>
      </c>
      <c r="M34" s="46">
        <f>IF(ROW(tbl_RCL[[#This Row],[Adj Close]])=5, 0, $F34-$F33)</f>
        <v>-4.740000000000002</v>
      </c>
      <c r="N34" s="46">
        <f>MAX(tbl_RCL[[#This Row],[Move]],0)</f>
        <v>0</v>
      </c>
      <c r="O34" s="46">
        <f>MAX(-tbl_RCL[[#This Row],[Move]],0)</f>
        <v>4.740000000000002</v>
      </c>
      <c r="P34" s="46">
        <f ca="1">IF(ROW($N34)-5&lt;RSI_Periods, "", AVERAGE(INDIRECT(ADDRESS(ROW($N34)-RSI_Periods +1, MATCH("Upmove", Price_Header,0))): INDIRECT(ADDRESS(ROW($N34),MATCH("Upmove", Price_Header,0)))))</f>
        <v>0.39500000000000007</v>
      </c>
      <c r="Q34" s="46">
        <f ca="1">IF(ROW($O34)-5&lt;RSI_Periods, "", AVERAGE(INDIRECT(ADDRESS(ROW($O34)-RSI_Periods +1, MATCH("Downmove", Price_Header,0))): INDIRECT(ADDRESS(ROW($O34),MATCH("Downmove", Price_Header,0)))))</f>
        <v>0.97571428571428598</v>
      </c>
      <c r="R34" s="46">
        <f ca="1">IF(tbl_RCL[[#This Row],[Avg_Upmove]]="", "", tbl_RCL[[#This Row],[Avg_Upmove]]/tbl_RCL[[#This Row],[Avg_Downmove]])</f>
        <v>0.40483162518301608</v>
      </c>
      <c r="S34" s="10">
        <f ca="1">IF(ROW($N34)-4&lt;BB_Periods, "", _xlfn.STDEV.S(INDIRECT(ADDRESS(ROW($F34)-RSI_Periods +1, MATCH("Adj Close", Price_Header,0))): INDIRECT(ADDRESS(ROW($F34),MATCH("Adj Close", Price_Header,0)))))</f>
        <v>2.8009170397811261</v>
      </c>
    </row>
    <row r="35" spans="1:19" x14ac:dyDescent="0.35">
      <c r="A35" s="8">
        <v>44096</v>
      </c>
      <c r="B35" s="10">
        <v>61</v>
      </c>
      <c r="C35" s="10">
        <v>63.06</v>
      </c>
      <c r="D35" s="10">
        <v>60.66</v>
      </c>
      <c r="E35" s="10">
        <v>62.37</v>
      </c>
      <c r="F35" s="10">
        <v>62.37</v>
      </c>
      <c r="G35">
        <v>5057600</v>
      </c>
      <c r="H35" s="10">
        <f>IF(tbl_RCL[[#This Row],[Date]]=$A$5, $F35, EMA_Beta*$H34 + (1-EMA_Beta)*$F35)</f>
        <v>66.245255713610419</v>
      </c>
      <c r="I35" s="46">
        <f ca="1">IF(tbl_RCL[[#This Row],[RS]]= "", "", 100-(100/(1+tbl_RCL[[#This Row],[RS]])))</f>
        <v>35.038986354775815</v>
      </c>
      <c r="J35" s="10">
        <f ca="1">IF(ROW($N35)-4&lt;BB_Periods, "", AVERAGE(INDIRECT(ADDRESS(ROW($F35)-RSI_Periods +1, MATCH("Adj Close", Price_Header,0))): INDIRECT(ADDRESS(ROW($F35),MATCH("Adj Close", Price_Header,0)))))</f>
        <v>68.252857142857152</v>
      </c>
      <c r="K35" s="10">
        <f ca="1">IF(tbl_RCL[[#This Row],[BB_Mean]]="", "", tbl_RCL[[#This Row],[BB_Mean]]+(BB_Width*tbl_RCL[[#This Row],[BB_Stdev]]))</f>
        <v>74.797884279529711</v>
      </c>
      <c r="L35" s="10">
        <f ca="1">IF(tbl_RCL[[#This Row],[BB_Mean]]="", "", tbl_RCL[[#This Row],[BB_Mean]]-(BB_Width*tbl_RCL[[#This Row],[BB_Stdev]]))</f>
        <v>61.707830006184594</v>
      </c>
      <c r="M35" s="46">
        <f>IF(ROW(tbl_RCL[[#This Row],[Adj Close]])=5, 0, $F35-$F34)</f>
        <v>1.6599999999999966</v>
      </c>
      <c r="N35" s="46">
        <f>MAX(tbl_RCL[[#This Row],[Move]],0)</f>
        <v>1.6599999999999966</v>
      </c>
      <c r="O35" s="46">
        <f>MAX(-tbl_RCL[[#This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0.51357142857142846</v>
      </c>
      <c r="Q35" s="46">
        <f ca="1">IF(ROW($O35)-5&lt;RSI_Periods, "", AVERAGE(INDIRECT(ADDRESS(ROW($O35)-RSI_Periods +1, MATCH("Downmove", Price_Header,0))): INDIRECT(ADDRESS(ROW($O35),MATCH("Downmove", Price_Header,0)))))</f>
        <v>0.95214285714285751</v>
      </c>
      <c r="R35" s="46">
        <f ca="1">IF(tbl_RCL[[#This Row],[Avg_Upmove]]="", "", tbl_RCL[[#This Row],[Avg_Upmove]]/tbl_RCL[[#This Row],[Avg_Downmove]])</f>
        <v>0.53938484621155258</v>
      </c>
      <c r="S35" s="10">
        <f ca="1">IF(ROW($N35)-4&lt;BB_Periods, "", _xlfn.STDEV.S(INDIRECT(ADDRESS(ROW($F35)-RSI_Periods +1, MATCH("Adj Close", Price_Header,0))): INDIRECT(ADDRESS(ROW($F35),MATCH("Adj Close", Price_Header,0)))))</f>
        <v>3.2725135683362812</v>
      </c>
    </row>
    <row r="36" spans="1:19" x14ac:dyDescent="0.35">
      <c r="A36" s="8">
        <v>44097</v>
      </c>
      <c r="B36" s="10">
        <v>63.02</v>
      </c>
      <c r="C36" s="10">
        <v>65.099999999999994</v>
      </c>
      <c r="D36" s="10">
        <v>61.17</v>
      </c>
      <c r="E36" s="10">
        <v>61.24</v>
      </c>
      <c r="F36" s="10">
        <v>61.24</v>
      </c>
      <c r="G36">
        <v>5252900</v>
      </c>
      <c r="H36" s="10">
        <f>IF(tbl_RCL[[#This Row],[Date]]=$A$5, $F36, EMA_Beta*$H35 + (1-EMA_Beta)*$F36)</f>
        <v>65.744730142249381</v>
      </c>
      <c r="I36" s="46">
        <f ca="1">IF(tbl_RCL[[#This Row],[RS]]= "", "", 100-(100/(1+tbl_RCL[[#This Row],[RS]])))</f>
        <v>33.426313342631332</v>
      </c>
      <c r="J36" s="10">
        <f ca="1">IF(ROW($N36)-4&lt;BB_Periods, "", AVERAGE(INDIRECT(ADDRESS(ROW($F36)-RSI_Periods +1, MATCH("Adj Close", Price_Header,0))): INDIRECT(ADDRESS(ROW($F36),MATCH("Adj Close", Price_Header,0)))))</f>
        <v>67.743571428571428</v>
      </c>
      <c r="K36" s="10">
        <f ca="1">IF(tbl_RCL[[#This Row],[BB_Mean]]="", "", tbl_RCL[[#This Row],[BB_Mean]]+(BB_Width*tbl_RCL[[#This Row],[BB_Stdev]]))</f>
        <v>75.283347418481341</v>
      </c>
      <c r="L36" s="10">
        <f ca="1">IF(tbl_RCL[[#This Row],[BB_Mean]]="", "", tbl_RCL[[#This Row],[BB_Mean]]-(BB_Width*tbl_RCL[[#This Row],[BB_Stdev]]))</f>
        <v>60.203795438661516</v>
      </c>
      <c r="M36" s="46">
        <f>IF(ROW(tbl_RCL[[#This Row],[Adj Close]])=5, 0, $F36-$F35)</f>
        <v>-1.1299999999999955</v>
      </c>
      <c r="N36" s="46">
        <f>MAX(tbl_RCL[[#This Row],[Move]],0)</f>
        <v>0</v>
      </c>
      <c r="O36" s="46">
        <f>MAX(-tbl_RCL[[#This Row],[Move]],0)</f>
        <v>1.1299999999999955</v>
      </c>
      <c r="P36" s="46">
        <f ca="1">IF(ROW($N36)-5&lt;RSI_Periods, "", AVERAGE(INDIRECT(ADDRESS(ROW($N36)-RSI_Periods +1, MATCH("Upmove", Price_Header,0))): INDIRECT(ADDRESS(ROW($N36),MATCH("Upmove", Price_Header,0)))))</f>
        <v>0.51357142857142846</v>
      </c>
      <c r="Q36" s="46">
        <f ca="1">IF(ROW($O36)-5&lt;RSI_Periods, "", AVERAGE(INDIRECT(ADDRESS(ROW($O36)-RSI_Periods +1, MATCH("Downmove", Price_Header,0))): INDIRECT(ADDRESS(ROW($O36),MATCH("Downmove", Price_Header,0)))))</f>
        <v>1.0228571428571429</v>
      </c>
      <c r="R36" s="46">
        <f ca="1">IF(tbl_RCL[[#This Row],[Avg_Upmove]]="", "", tbl_RCL[[#This Row],[Avg_Upmove]]/tbl_RCL[[#This Row],[Avg_Downmove]])</f>
        <v>0.50209497206703901</v>
      </c>
      <c r="S36" s="10">
        <f ca="1">IF(ROW($N36)-4&lt;BB_Periods, "", _xlfn.STDEV.S(INDIRECT(ADDRESS(ROW($F36)-RSI_Periods +1, MATCH("Adj Close", Price_Header,0))): INDIRECT(ADDRESS(ROW($F36),MATCH("Adj Close", Price_Header,0)))))</f>
        <v>3.7698879949549564</v>
      </c>
    </row>
    <row r="37" spans="1:19" x14ac:dyDescent="0.35">
      <c r="A37" s="8">
        <v>44098</v>
      </c>
      <c r="B37" s="10">
        <v>60.64</v>
      </c>
      <c r="C37" s="10">
        <v>61.24</v>
      </c>
      <c r="D37" s="10">
        <v>58.27</v>
      </c>
      <c r="E37" s="10">
        <v>59.97</v>
      </c>
      <c r="F37" s="10">
        <v>59.97</v>
      </c>
      <c r="G37">
        <v>6456400</v>
      </c>
      <c r="H37" s="10">
        <f>IF(tbl_RCL[[#This Row],[Date]]=$A$5, $F37, EMA_Beta*$H36 + (1-EMA_Beta)*$F37)</f>
        <v>65.167257128024445</v>
      </c>
      <c r="I37" s="46">
        <f ca="1">IF(tbl_RCL[[#This Row],[RS]]= "", "", 100-(100/(1+tbl_RCL[[#This Row],[RS]])))</f>
        <v>25.584725536992835</v>
      </c>
      <c r="J37" s="10">
        <f ca="1">IF(ROW($N37)-4&lt;BB_Periods, "", AVERAGE(INDIRECT(ADDRESS(ROW($F37)-RSI_Periods +1, MATCH("Adj Close", Price_Header,0))): INDIRECT(ADDRESS(ROW($F37),MATCH("Adj Close", Price_Header,0)))))</f>
        <v>67.012857142857143</v>
      </c>
      <c r="K37" s="10">
        <f ca="1">IF(tbl_RCL[[#This Row],[BB_Mean]]="", "", tbl_RCL[[#This Row],[BB_Mean]]+(BB_Width*tbl_RCL[[#This Row],[BB_Stdev]]))</f>
        <v>75.455894979565443</v>
      </c>
      <c r="L37" s="10">
        <f ca="1">IF(tbl_RCL[[#This Row],[BB_Mean]]="", "", tbl_RCL[[#This Row],[BB_Mean]]-(BB_Width*tbl_RCL[[#This Row],[BB_Stdev]]))</f>
        <v>58.569819306148844</v>
      </c>
      <c r="M37" s="46">
        <f>IF(ROW(tbl_RCL[[#This Row],[Adj Close]])=5, 0, $F37-$F36)</f>
        <v>-1.2700000000000031</v>
      </c>
      <c r="N37" s="46">
        <f>MAX(tbl_RCL[[#This Row],[Move]],0)</f>
        <v>0</v>
      </c>
      <c r="O37" s="46">
        <f>MAX(-tbl_RCL[[#This Row],[Move]],0)</f>
        <v>1.2700000000000031</v>
      </c>
      <c r="P37" s="46">
        <f ca="1">IF(ROW($N37)-5&lt;RSI_Periods, "", AVERAGE(INDIRECT(ADDRESS(ROW($N37)-RSI_Periods +1, MATCH("Upmove", Price_Header,0))): INDIRECT(ADDRESS(ROW($N37),MATCH("Upmove", Price_Header,0)))))</f>
        <v>0.38285714285714284</v>
      </c>
      <c r="Q37" s="46">
        <f ca="1">IF(ROW($O37)-5&lt;RSI_Periods, "", AVERAGE(INDIRECT(ADDRESS(ROW($O37)-RSI_Periods +1, MATCH("Downmove", Price_Header,0))): INDIRECT(ADDRESS(ROW($O37),MATCH("Downmove", Price_Header,0)))))</f>
        <v>1.1135714285714289</v>
      </c>
      <c r="R37" s="46">
        <f ca="1">IF(tbl_RCL[[#This Row],[Avg_Upmove]]="", "", tbl_RCL[[#This Row],[Avg_Upmove]]/tbl_RCL[[#This Row],[Avg_Downmove]])</f>
        <v>0.34381013470173177</v>
      </c>
      <c r="S37" s="10">
        <f ca="1">IF(ROW($N37)-4&lt;BB_Periods, "", _xlfn.STDEV.S(INDIRECT(ADDRESS(ROW($F37)-RSI_Periods +1, MATCH("Adj Close", Price_Header,0))): INDIRECT(ADDRESS(ROW($F37),MATCH("Adj Close", Price_Header,0)))))</f>
        <v>4.2215189183541488</v>
      </c>
    </row>
    <row r="38" spans="1:19" x14ac:dyDescent="0.35">
      <c r="A38" s="8">
        <v>44099</v>
      </c>
      <c r="B38" s="10">
        <v>63.22</v>
      </c>
      <c r="C38" s="10">
        <v>64.91</v>
      </c>
      <c r="D38" s="10">
        <v>61.78</v>
      </c>
      <c r="E38" s="10">
        <v>64.59</v>
      </c>
      <c r="F38" s="10">
        <v>64.59</v>
      </c>
      <c r="G38">
        <v>7922100</v>
      </c>
      <c r="H38" s="10">
        <f>IF(tbl_RCL[[#This Row],[Date]]=$A$5, $F38, EMA_Beta*$H37 + (1-EMA_Beta)*$F38)</f>
        <v>65.109531415222008</v>
      </c>
      <c r="I38" s="46">
        <f ca="1">IF(tbl_RCL[[#This Row],[RS]]= "", "", 100-(100/(1+tbl_RCL[[#This Row],[RS]])))</f>
        <v>34.550797649034422</v>
      </c>
      <c r="J38" s="10">
        <f ca="1">IF(ROW($N38)-4&lt;BB_Periods, "", AVERAGE(INDIRECT(ADDRESS(ROW($F38)-RSI_Periods +1, MATCH("Adj Close", Price_Header,0))): INDIRECT(ADDRESS(ROW($F38),MATCH("Adj Close", Price_Header,0)))))</f>
        <v>66.487142857142871</v>
      </c>
      <c r="K38" s="10">
        <f ca="1">IF(tbl_RCL[[#This Row],[BB_Mean]]="", "", tbl_RCL[[#This Row],[BB_Mean]]+(BB_Width*tbl_RCL[[#This Row],[BB_Stdev]]))</f>
        <v>74.512132398747099</v>
      </c>
      <c r="L38" s="10">
        <f ca="1">IF(tbl_RCL[[#This Row],[BB_Mean]]="", "", tbl_RCL[[#This Row],[BB_Mean]]-(BB_Width*tbl_RCL[[#This Row],[BB_Stdev]]))</f>
        <v>58.46215331553865</v>
      </c>
      <c r="M38" s="46">
        <f>IF(ROW(tbl_RCL[[#This Row],[Adj Close]])=5, 0, $F38-$F37)</f>
        <v>4.6200000000000045</v>
      </c>
      <c r="N38" s="46">
        <f>MAX(tbl_RCL[[#This Row],[Move]],0)</f>
        <v>4.6200000000000045</v>
      </c>
      <c r="O38" s="46">
        <f>MAX(-tbl_RCL[[#This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0.58785714285714319</v>
      </c>
      <c r="Q38" s="46">
        <f ca="1">IF(ROW($O38)-5&lt;RSI_Periods, "", AVERAGE(INDIRECT(ADDRESS(ROW($O38)-RSI_Periods +1, MATCH("Downmove", Price_Header,0))): INDIRECT(ADDRESS(ROW($O38),MATCH("Downmove", Price_Header,0)))))</f>
        <v>1.1135714285714289</v>
      </c>
      <c r="R38" s="46">
        <f ca="1">IF(tbl_RCL[[#This Row],[Avg_Upmove]]="", "", tbl_RCL[[#This Row],[Avg_Upmove]]/tbl_RCL[[#This Row],[Avg_Downmove]])</f>
        <v>0.5279025016035922</v>
      </c>
      <c r="S38" s="10">
        <f ca="1">IF(ROW($N38)-4&lt;BB_Periods, "", _xlfn.STDEV.S(INDIRECT(ADDRESS(ROW($F38)-RSI_Periods +1, MATCH("Adj Close", Price_Header,0))): INDIRECT(ADDRESS(ROW($F38),MATCH("Adj Close", Price_Header,0)))))</f>
        <v>4.0124947708021113</v>
      </c>
    </row>
    <row r="39" spans="1:19" x14ac:dyDescent="0.35">
      <c r="A39" s="8">
        <v>44102</v>
      </c>
      <c r="B39" s="10">
        <v>66.13</v>
      </c>
      <c r="C39" s="10">
        <v>66.83</v>
      </c>
      <c r="D39" s="10">
        <v>63.32</v>
      </c>
      <c r="E39" s="10">
        <v>66.09</v>
      </c>
      <c r="F39" s="10">
        <v>66.09</v>
      </c>
      <c r="G39">
        <v>5677500</v>
      </c>
      <c r="H39" s="10">
        <f>IF(tbl_RCL[[#This Row],[Date]]=$A$5, $F39, EMA_Beta*$H38 + (1-EMA_Beta)*$F39)</f>
        <v>65.207578273699809</v>
      </c>
      <c r="I39" s="46">
        <f ca="1">IF(tbl_RCL[[#This Row],[RS]]= "", "", 100-(100/(1+tbl_RCL[[#This Row],[RS]])))</f>
        <v>39.10771704180064</v>
      </c>
      <c r="J39" s="10">
        <f ca="1">IF(ROW($N39)-4&lt;BB_Periods, "", AVERAGE(INDIRECT(ADDRESS(ROW($F39)-RSI_Periods +1, MATCH("Adj Close", Price_Header,0))): INDIRECT(ADDRESS(ROW($F39),MATCH("Adj Close", Price_Header,0)))))</f>
        <v>66.100000000000009</v>
      </c>
      <c r="K39" s="10">
        <f ca="1">IF(tbl_RCL[[#This Row],[BB_Mean]]="", "", tbl_RCL[[#This Row],[BB_Mean]]+(BB_Width*tbl_RCL[[#This Row],[BB_Stdev]]))</f>
        <v>73.586023900987357</v>
      </c>
      <c r="L39" s="10">
        <f ca="1">IF(tbl_RCL[[#This Row],[BB_Mean]]="", "", tbl_RCL[[#This Row],[BB_Mean]]-(BB_Width*tbl_RCL[[#This Row],[BB_Stdev]]))</f>
        <v>58.61397609901266</v>
      </c>
      <c r="M39" s="46">
        <f>IF(ROW(tbl_RCL[[#This Row],[Adj Close]])=5, 0, $F39-$F38)</f>
        <v>1.5</v>
      </c>
      <c r="N39" s="46">
        <f>MAX(tbl_RCL[[#This Row],[Move]],0)</f>
        <v>1.5</v>
      </c>
      <c r="O39" s="46">
        <f>MAX(-tbl_RCL[[#This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0.69500000000000028</v>
      </c>
      <c r="Q39" s="46">
        <f ca="1">IF(ROW($O39)-5&lt;RSI_Periods, "", AVERAGE(INDIRECT(ADDRESS(ROW($O39)-RSI_Periods +1, MATCH("Downmove", Price_Header,0))): INDIRECT(ADDRESS(ROW($O39),MATCH("Downmove", Price_Header,0)))))</f>
        <v>1.0821428571428575</v>
      </c>
      <c r="R39" s="46">
        <f ca="1">IF(tbl_RCL[[#This Row],[Avg_Upmove]]="", "", tbl_RCL[[#This Row],[Avg_Upmove]]/tbl_RCL[[#This Row],[Avg_Downmove]])</f>
        <v>0.64224422442244233</v>
      </c>
      <c r="S39" s="10">
        <f ca="1">IF(ROW($N39)-4&lt;BB_Periods, "", _xlfn.STDEV.S(INDIRECT(ADDRESS(ROW($F39)-RSI_Periods +1, MATCH("Adj Close", Price_Header,0))): INDIRECT(ADDRESS(ROW($F39),MATCH("Adj Close", Price_Header,0)))))</f>
        <v>3.7430119504936745</v>
      </c>
    </row>
    <row r="40" spans="1:19" x14ac:dyDescent="0.35">
      <c r="A40" s="8">
        <v>44103</v>
      </c>
      <c r="B40" s="10">
        <v>65.86</v>
      </c>
      <c r="C40" s="10">
        <v>66.23</v>
      </c>
      <c r="D40" s="10">
        <v>63.51</v>
      </c>
      <c r="E40" s="10">
        <v>64.400000000000006</v>
      </c>
      <c r="F40" s="10">
        <v>64.400000000000006</v>
      </c>
      <c r="G40">
        <v>4396300</v>
      </c>
      <c r="H40" s="10">
        <f>IF(tbl_RCL[[#This Row],[Date]]=$A$5, $F40, EMA_Beta*$H39 + (1-EMA_Beta)*$F40)</f>
        <v>65.12682044632983</v>
      </c>
      <c r="I40" s="46">
        <f ca="1">IF(tbl_RCL[[#This Row],[RS]]= "", "", 100-(100/(1+tbl_RCL[[#This Row],[RS]])))</f>
        <v>38.657131505760844</v>
      </c>
      <c r="J40" s="10">
        <f ca="1">IF(ROW($N40)-4&lt;BB_Periods, "", AVERAGE(INDIRECT(ADDRESS(ROW($F40)-RSI_Periods +1, MATCH("Adj Close", Price_Header,0))): INDIRECT(ADDRESS(ROW($F40),MATCH("Adj Close", Price_Header,0)))))</f>
        <v>65.692142857142855</v>
      </c>
      <c r="K40" s="10">
        <f ca="1">IF(tbl_RCL[[#This Row],[BB_Mean]]="", "", tbl_RCL[[#This Row],[BB_Mean]]+(BB_Width*tbl_RCL[[#This Row],[BB_Stdev]]))</f>
        <v>72.852135029770409</v>
      </c>
      <c r="L40" s="10">
        <f ca="1">IF(tbl_RCL[[#This Row],[BB_Mean]]="", "", tbl_RCL[[#This Row],[BB_Mean]]-(BB_Width*tbl_RCL[[#This Row],[BB_Stdev]]))</f>
        <v>58.532150684515294</v>
      </c>
      <c r="M40" s="46">
        <f>IF(ROW(tbl_RCL[[#This Row],[Adj Close]])=5, 0, $F40-$F39)</f>
        <v>-1.6899999999999977</v>
      </c>
      <c r="N40" s="46">
        <f>MAX(tbl_RCL[[#This Row],[Move]],0)</f>
        <v>0</v>
      </c>
      <c r="O40" s="46">
        <f>MAX(-tbl_RCL[[#This Row],[Move]],0)</f>
        <v>1.6899999999999977</v>
      </c>
      <c r="P40" s="46">
        <f ca="1">IF(ROW($N40)-5&lt;RSI_Periods, "", AVERAGE(INDIRECT(ADDRESS(ROW($N40)-RSI_Periods +1, MATCH("Upmove", Price_Header,0))): INDIRECT(ADDRESS(ROW($N40),MATCH("Upmove", Price_Header,0)))))</f>
        <v>0.69500000000000028</v>
      </c>
      <c r="Q40" s="46">
        <f ca="1">IF(ROW($O40)-5&lt;RSI_Periods, "", AVERAGE(INDIRECT(ADDRESS(ROW($O40)-RSI_Periods +1, MATCH("Downmove", Price_Header,0))): INDIRECT(ADDRESS(ROW($O40),MATCH("Downmove", Price_Header,0)))))</f>
        <v>1.1028571428571428</v>
      </c>
      <c r="R40" s="46">
        <f ca="1">IF(tbl_RCL[[#This Row],[Avg_Upmove]]="", "", tbl_RCL[[#This Row],[Avg_Upmove]]/tbl_RCL[[#This Row],[Avg_Downmove]])</f>
        <v>0.63018134715025942</v>
      </c>
      <c r="S40" s="10">
        <f ca="1">IF(ROW($N40)-4&lt;BB_Periods, "", _xlfn.STDEV.S(INDIRECT(ADDRESS(ROW($F40)-RSI_Periods +1, MATCH("Adj Close", Price_Header,0))): INDIRECT(ADDRESS(ROW($F40),MATCH("Adj Close", Price_Header,0)))))</f>
        <v>3.5799960863137796</v>
      </c>
    </row>
    <row r="41" spans="1:19" x14ac:dyDescent="0.35">
      <c r="A41" s="8">
        <v>44104</v>
      </c>
      <c r="B41" s="10">
        <v>66.47</v>
      </c>
      <c r="C41" s="10">
        <v>68.209999999999994</v>
      </c>
      <c r="D41" s="10">
        <v>64.180000000000007</v>
      </c>
      <c r="E41" s="10">
        <v>64.73</v>
      </c>
      <c r="F41" s="10">
        <v>64.73</v>
      </c>
      <c r="G41">
        <v>7979400</v>
      </c>
      <c r="H41" s="10">
        <f>IF(tbl_RCL[[#This Row],[Date]]=$A$5, $F41, EMA_Beta*$H40 + (1-EMA_Beta)*$F41)</f>
        <v>65.087138401696848</v>
      </c>
      <c r="I41" s="46">
        <f ca="1">IF(tbl_RCL[[#This Row],[RS]]= "", "", 100-(100/(1+tbl_RCL[[#This Row],[RS]])))</f>
        <v>39.379662347860233</v>
      </c>
      <c r="J41" s="10">
        <f ca="1">IF(ROW($N41)-4&lt;BB_Periods, "", AVERAGE(INDIRECT(ADDRESS(ROW($F41)-RSI_Periods +1, MATCH("Adj Close", Price_Header,0))): INDIRECT(ADDRESS(ROW($F41),MATCH("Adj Close", Price_Header,0)))))</f>
        <v>65.305714285714288</v>
      </c>
      <c r="K41" s="10">
        <f ca="1">IF(tbl_RCL[[#This Row],[BB_Mean]]="", "", tbl_RCL[[#This Row],[BB_Mean]]+(BB_Width*tbl_RCL[[#This Row],[BB_Stdev]]))</f>
        <v>72.000477861872852</v>
      </c>
      <c r="L41" s="10">
        <f ca="1">IF(tbl_RCL[[#This Row],[BB_Mean]]="", "", tbl_RCL[[#This Row],[BB_Mean]]-(BB_Width*tbl_RCL[[#This Row],[BB_Stdev]]))</f>
        <v>58.610950709555723</v>
      </c>
      <c r="M41" s="46">
        <f>IF(ROW(tbl_RCL[[#This Row],[Adj Close]])=5, 0, $F41-$F40)</f>
        <v>0.32999999999999829</v>
      </c>
      <c r="N41" s="46">
        <f>MAX(tbl_RCL[[#This Row],[Move]],0)</f>
        <v>0.32999999999999829</v>
      </c>
      <c r="O41" s="46">
        <f>MAX(-tbl_RCL[[#This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0.71642857142857153</v>
      </c>
      <c r="Q41" s="46">
        <f ca="1">IF(ROW($O41)-5&lt;RSI_Periods, "", AVERAGE(INDIRECT(ADDRESS(ROW($O41)-RSI_Periods +1, MATCH("Downmove", Price_Header,0))): INDIRECT(ADDRESS(ROW($O41),MATCH("Downmove", Price_Header,0)))))</f>
        <v>1.1028571428571428</v>
      </c>
      <c r="R41" s="46">
        <f ca="1">IF(tbl_RCL[[#This Row],[Avg_Upmove]]="", "", tbl_RCL[[#This Row],[Avg_Upmove]]/tbl_RCL[[#This Row],[Avg_Downmove]])</f>
        <v>0.64961139896373077</v>
      </c>
      <c r="S41" s="10">
        <f ca="1">IF(ROW($N41)-4&lt;BB_Periods, "", _xlfn.STDEV.S(INDIRECT(ADDRESS(ROW($F41)-RSI_Periods +1, MATCH("Adj Close", Price_Header,0))): INDIRECT(ADDRESS(ROW($F41),MATCH("Adj Close", Price_Header,0)))))</f>
        <v>3.3473817880792804</v>
      </c>
    </row>
    <row r="42" spans="1:19" x14ac:dyDescent="0.35">
      <c r="A42" s="8">
        <v>44105</v>
      </c>
      <c r="B42" s="10">
        <v>65.150000000000006</v>
      </c>
      <c r="C42" s="10">
        <v>65.92</v>
      </c>
      <c r="D42" s="10">
        <v>63.57</v>
      </c>
      <c r="E42" s="10">
        <v>65.55</v>
      </c>
      <c r="F42" s="10">
        <v>65.55</v>
      </c>
      <c r="G42">
        <v>5432000</v>
      </c>
      <c r="H42" s="10">
        <f>IF(tbl_RCL[[#This Row],[Date]]=$A$5, $F42, EMA_Beta*$H41 + (1-EMA_Beta)*$F42)</f>
        <v>65.133424561527164</v>
      </c>
      <c r="I42" s="46">
        <f ca="1">IF(tbl_RCL[[#This Row],[RS]]= "", "", 100-(100/(1+tbl_RCL[[#This Row],[RS]])))</f>
        <v>42.565712043938781</v>
      </c>
      <c r="J42" s="10">
        <f ca="1">IF(ROW($N42)-4&lt;BB_Periods, "", AVERAGE(INDIRECT(ADDRESS(ROW($F42)-RSI_Periods +1, MATCH("Adj Close", Price_Header,0))): INDIRECT(ADDRESS(ROW($F42),MATCH("Adj Close", Price_Header,0)))))</f>
        <v>65.034999999999997</v>
      </c>
      <c r="K42" s="10">
        <f ca="1">IF(tbl_RCL[[#This Row],[BB_Mean]]="", "", tbl_RCL[[#This Row],[BB_Mean]]+(BB_Width*tbl_RCL[[#This Row],[BB_Stdev]]))</f>
        <v>71.321071293557864</v>
      </c>
      <c r="L42" s="10">
        <f ca="1">IF(tbl_RCL[[#This Row],[BB_Mean]]="", "", tbl_RCL[[#This Row],[BB_Mean]]-(BB_Width*tbl_RCL[[#This Row],[BB_Stdev]]))</f>
        <v>58.748928706442129</v>
      </c>
      <c r="M42" s="46">
        <f>IF(ROW(tbl_RCL[[#This Row],[Adj Close]])=5, 0, $F42-$F41)</f>
        <v>0.81999999999999318</v>
      </c>
      <c r="N42" s="46">
        <f>MAX(tbl_RCL[[#This Row],[Move]],0)</f>
        <v>0.81999999999999318</v>
      </c>
      <c r="O42" s="46">
        <f>MAX(-tbl_RCL[[#This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0.77499999999999958</v>
      </c>
      <c r="Q42" s="46">
        <f ca="1">IF(ROW($O42)-5&lt;RSI_Periods, "", AVERAGE(INDIRECT(ADDRESS(ROW($O42)-RSI_Periods +1, MATCH("Downmove", Price_Header,0))): INDIRECT(ADDRESS(ROW($O42),MATCH("Downmove", Price_Header,0)))))</f>
        <v>1.0457142857142858</v>
      </c>
      <c r="R42" s="46">
        <f ca="1">IF(tbl_RCL[[#This Row],[Avg_Upmove]]="", "", tbl_RCL[[#This Row],[Avg_Upmove]]/tbl_RCL[[#This Row],[Avg_Downmove]])</f>
        <v>0.74112021857923449</v>
      </c>
      <c r="S42" s="10">
        <f ca="1">IF(ROW($N42)-4&lt;BB_Periods, "", _xlfn.STDEV.S(INDIRECT(ADDRESS(ROW($F42)-RSI_Periods +1, MATCH("Adj Close", Price_Header,0))): INDIRECT(ADDRESS(ROW($F42),MATCH("Adj Close", Price_Header,0)))))</f>
        <v>3.1430356467789342</v>
      </c>
    </row>
    <row r="43" spans="1:19" x14ac:dyDescent="0.35">
      <c r="A43" s="8">
        <v>44106</v>
      </c>
      <c r="B43" s="10">
        <v>62.5</v>
      </c>
      <c r="C43" s="10">
        <v>65.760000000000005</v>
      </c>
      <c r="D43" s="10">
        <v>62.3</v>
      </c>
      <c r="E43" s="10">
        <v>65.260000000000005</v>
      </c>
      <c r="F43" s="10">
        <v>65.260000000000005</v>
      </c>
      <c r="G43">
        <v>4949000</v>
      </c>
      <c r="H43" s="10">
        <f>IF(tbl_RCL[[#This Row],[Date]]=$A$5, $F43, EMA_Beta*$H42 + (1-EMA_Beta)*$F43)</f>
        <v>65.146082105374447</v>
      </c>
      <c r="I43" s="46">
        <f ca="1">IF(tbl_RCL[[#This Row],[RS]]= "", "", 100-(100/(1+tbl_RCL[[#This Row],[RS]])))</f>
        <v>42.086889061287813</v>
      </c>
      <c r="J43" s="10">
        <f ca="1">IF(ROW($N43)-4&lt;BB_Periods, "", AVERAGE(INDIRECT(ADDRESS(ROW($F43)-RSI_Periods +1, MATCH("Adj Close", Price_Header,0))): INDIRECT(ADDRESS(ROW($F43),MATCH("Adj Close", Price_Header,0)))))</f>
        <v>64.743571428571428</v>
      </c>
      <c r="K43" s="10">
        <f ca="1">IF(tbl_RCL[[#This Row],[BB_Mean]]="", "", tbl_RCL[[#This Row],[BB_Mean]]+(BB_Width*tbl_RCL[[#This Row],[BB_Stdev]]))</f>
        <v>70.52820149927993</v>
      </c>
      <c r="L43" s="10">
        <f ca="1">IF(tbl_RCL[[#This Row],[BB_Mean]]="", "", tbl_RCL[[#This Row],[BB_Mean]]-(BB_Width*tbl_RCL[[#This Row],[BB_Stdev]]))</f>
        <v>58.958941357862926</v>
      </c>
      <c r="M43" s="46">
        <f>IF(ROW(tbl_RCL[[#This Row],[Adj Close]])=5, 0, $F43-$F42)</f>
        <v>-0.28999999999999204</v>
      </c>
      <c r="N43" s="46">
        <f>MAX(tbl_RCL[[#This Row],[Move]],0)</f>
        <v>0</v>
      </c>
      <c r="O43" s="46">
        <f>MAX(-tbl_RCL[[#This Row],[Move]],0)</f>
        <v>0.28999999999999204</v>
      </c>
      <c r="P43" s="46">
        <f ca="1">IF(ROW($N43)-5&lt;RSI_Periods, "", AVERAGE(INDIRECT(ADDRESS(ROW($N43)-RSI_Periods +1, MATCH("Upmove", Price_Header,0))): INDIRECT(ADDRESS(ROW($N43),MATCH("Upmove", Price_Header,0)))))</f>
        <v>0.77499999999999958</v>
      </c>
      <c r="Q43" s="46">
        <f ca="1">IF(ROW($O43)-5&lt;RSI_Periods, "", AVERAGE(INDIRECT(ADDRESS(ROW($O43)-RSI_Periods +1, MATCH("Downmove", Price_Header,0))): INDIRECT(ADDRESS(ROW($O43),MATCH("Downmove", Price_Header,0)))))</f>
        <v>1.0664285714285708</v>
      </c>
      <c r="R43" s="46">
        <f ca="1">IF(tbl_RCL[[#This Row],[Avg_Upmove]]="", "", tbl_RCL[[#This Row],[Avg_Upmove]]/tbl_RCL[[#This Row],[Avg_Downmove]])</f>
        <v>0.72672471533824512</v>
      </c>
      <c r="S43" s="10">
        <f ca="1">IF(ROW($N43)-4&lt;BB_Periods, "", _xlfn.STDEV.S(INDIRECT(ADDRESS(ROW($F43)-RSI_Periods +1, MATCH("Adj Close", Price_Header,0))): INDIRECT(ADDRESS(ROW($F43),MATCH("Adj Close", Price_Header,0)))))</f>
        <v>2.8923150353542511</v>
      </c>
    </row>
    <row r="44" spans="1:19" x14ac:dyDescent="0.35">
      <c r="A44" s="8">
        <v>44109</v>
      </c>
      <c r="B44" s="10">
        <v>65</v>
      </c>
      <c r="C44" s="10">
        <v>66.099999999999994</v>
      </c>
      <c r="D44" s="10">
        <v>64.5</v>
      </c>
      <c r="E44" s="10">
        <v>65.25</v>
      </c>
      <c r="F44" s="10">
        <v>65.25</v>
      </c>
      <c r="G44">
        <v>3575800</v>
      </c>
      <c r="H44" s="10">
        <f>IF(tbl_RCL[[#This Row],[Date]]=$A$5, $F44, EMA_Beta*$H43 + (1-EMA_Beta)*$F44)</f>
        <v>65.156473894837006</v>
      </c>
      <c r="I44" s="46">
        <f ca="1">IF(tbl_RCL[[#This Row],[RS]]= "", "", 100-(100/(1+tbl_RCL[[#This Row],[RS]])))</f>
        <v>44.946147473073736</v>
      </c>
      <c r="J44" s="10">
        <f ca="1">IF(ROW($N44)-4&lt;BB_Periods, "", AVERAGE(INDIRECT(ADDRESS(ROW($F44)-RSI_Periods +1, MATCH("Adj Close", Price_Header,0))): INDIRECT(ADDRESS(ROW($F44),MATCH("Adj Close", Price_Header,0)))))</f>
        <v>64.569285714285712</v>
      </c>
      <c r="K44" s="10">
        <f ca="1">IF(tbl_RCL[[#This Row],[BB_Mean]]="", "", tbl_RCL[[#This Row],[BB_Mean]]+(BB_Width*tbl_RCL[[#This Row],[BB_Stdev]]))</f>
        <v>70.113543807321946</v>
      </c>
      <c r="L44" s="10">
        <f ca="1">IF(tbl_RCL[[#This Row],[BB_Mean]]="", "", tbl_RCL[[#This Row],[BB_Mean]]-(BB_Width*tbl_RCL[[#This Row],[BB_Stdev]]))</f>
        <v>59.025027621249478</v>
      </c>
      <c r="M44" s="46">
        <f>IF(ROW(tbl_RCL[[#This Row],[Adj Close]])=5, 0, $F44-$F43)</f>
        <v>-1.0000000000005116E-2</v>
      </c>
      <c r="N44" s="46">
        <f>MAX(tbl_RCL[[#This Row],[Move]],0)</f>
        <v>0</v>
      </c>
      <c r="O44" s="46">
        <f>MAX(-tbl_RCL[[#This Row],[Move]],0)</f>
        <v>1.0000000000005116E-2</v>
      </c>
      <c r="P44" s="46">
        <f ca="1">IF(ROW($N44)-5&lt;RSI_Periods, "", AVERAGE(INDIRECT(ADDRESS(ROW($N44)-RSI_Periods +1, MATCH("Upmove", Price_Header,0))): INDIRECT(ADDRESS(ROW($N44),MATCH("Upmove", Price_Header,0)))))</f>
        <v>0.77499999999999958</v>
      </c>
      <c r="Q44" s="46">
        <f ca="1">IF(ROW($O44)-5&lt;RSI_Periods, "", AVERAGE(INDIRECT(ADDRESS(ROW($O44)-RSI_Periods +1, MATCH("Downmove", Price_Header,0))): INDIRECT(ADDRESS(ROW($O44),MATCH("Downmove", Price_Header,0)))))</f>
        <v>0.94928571428571373</v>
      </c>
      <c r="R44" s="46">
        <f ca="1">IF(tbl_RCL[[#This Row],[Avg_Upmove]]="", "", tbl_RCL[[#This Row],[Avg_Upmove]]/tbl_RCL[[#This Row],[Avg_Downmove]])</f>
        <v>0.81640331075996997</v>
      </c>
      <c r="S44" s="10">
        <f ca="1">IF(ROW($N44)-4&lt;BB_Periods, "", _xlfn.STDEV.S(INDIRECT(ADDRESS(ROW($F44)-RSI_Periods +1, MATCH("Adj Close", Price_Header,0))): INDIRECT(ADDRESS(ROW($F44),MATCH("Adj Close", Price_Header,0)))))</f>
        <v>2.7721290465181188</v>
      </c>
    </row>
    <row r="45" spans="1:19" x14ac:dyDescent="0.35">
      <c r="A45" s="8">
        <v>44110</v>
      </c>
      <c r="B45" s="10">
        <v>66</v>
      </c>
      <c r="C45" s="10">
        <v>69.91</v>
      </c>
      <c r="D45" s="10">
        <v>65.77</v>
      </c>
      <c r="E45" s="10">
        <v>66.180000000000007</v>
      </c>
      <c r="F45" s="10">
        <v>66.180000000000007</v>
      </c>
      <c r="G45">
        <v>7355400</v>
      </c>
      <c r="H45" s="10">
        <f>IF(tbl_RCL[[#This Row],[Date]]=$A$5, $F45, EMA_Beta*$H44 + (1-EMA_Beta)*$F45)</f>
        <v>65.258826505353312</v>
      </c>
      <c r="I45" s="46">
        <f ca="1">IF(tbl_RCL[[#This Row],[RS]]= "", "", 100-(100/(1+tbl_RCL[[#This Row],[RS]])))</f>
        <v>42.591792656587486</v>
      </c>
      <c r="J45" s="10">
        <f ca="1">IF(ROW($N45)-4&lt;BB_Periods, "", AVERAGE(INDIRECT(ADDRESS(ROW($F45)-RSI_Periods +1, MATCH("Adj Close", Price_Header,0))): INDIRECT(ADDRESS(ROW($F45),MATCH("Adj Close", Price_Header,0)))))</f>
        <v>64.324285714285708</v>
      </c>
      <c r="K45" s="10">
        <f ca="1">IF(tbl_RCL[[#This Row],[BB_Mean]]="", "", tbl_RCL[[#This Row],[BB_Mean]]+(BB_Width*tbl_RCL[[#This Row],[BB_Stdev]]))</f>
        <v>69.167880782704742</v>
      </c>
      <c r="L45" s="10">
        <f ca="1">IF(tbl_RCL[[#This Row],[BB_Mean]]="", "", tbl_RCL[[#This Row],[BB_Mean]]-(BB_Width*tbl_RCL[[#This Row],[BB_Stdev]]))</f>
        <v>59.480690645866673</v>
      </c>
      <c r="M45" s="46">
        <f>IF(ROW(tbl_RCL[[#This Row],[Adj Close]])=5, 0, $F45-$F44)</f>
        <v>0.93000000000000682</v>
      </c>
      <c r="N45" s="46">
        <f>MAX(tbl_RCL[[#This Row],[Move]],0)</f>
        <v>0.93000000000000682</v>
      </c>
      <c r="O45" s="46">
        <f>MAX(-tbl_RCL[[#This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0.70428571428571429</v>
      </c>
      <c r="Q45" s="46">
        <f ca="1">IF(ROW($O45)-5&lt;RSI_Periods, "", AVERAGE(INDIRECT(ADDRESS(ROW($O45)-RSI_Periods +1, MATCH("Downmove", Price_Header,0))): INDIRECT(ADDRESS(ROW($O45),MATCH("Downmove", Price_Header,0)))))</f>
        <v>0.94928571428571373</v>
      </c>
      <c r="R45" s="46">
        <f ca="1">IF(tbl_RCL[[#This Row],[Avg_Upmove]]="", "", tbl_RCL[[#This Row],[Avg_Upmove]]/tbl_RCL[[#This Row],[Avg_Downmove]])</f>
        <v>0.7419112114371712</v>
      </c>
      <c r="S45" s="10">
        <f ca="1">IF(ROW($N45)-4&lt;BB_Periods, "", _xlfn.STDEV.S(INDIRECT(ADDRESS(ROW($F45)-RSI_Periods +1, MATCH("Adj Close", Price_Header,0))): INDIRECT(ADDRESS(ROW($F45),MATCH("Adj Close", Price_Header,0)))))</f>
        <v>2.4217975342095173</v>
      </c>
    </row>
    <row r="46" spans="1:19" x14ac:dyDescent="0.35">
      <c r="A46" s="8">
        <v>44111</v>
      </c>
      <c r="B46" s="10">
        <v>67.47</v>
      </c>
      <c r="C46" s="10">
        <v>68.64</v>
      </c>
      <c r="D46" s="10">
        <v>66.099999999999994</v>
      </c>
      <c r="E46" s="10">
        <v>68.02</v>
      </c>
      <c r="F46" s="10">
        <v>68.02</v>
      </c>
      <c r="G46">
        <v>4551400</v>
      </c>
      <c r="H46" s="10">
        <f>IF(tbl_RCL[[#This Row],[Date]]=$A$5, $F46, EMA_Beta*$H45 + (1-EMA_Beta)*$F46)</f>
        <v>65.534943854817982</v>
      </c>
      <c r="I46" s="46">
        <f ca="1">IF(tbl_RCL[[#This Row],[RS]]= "", "", 100-(100/(1+tbl_RCL[[#This Row],[RS]])))</f>
        <v>48.487360132614995</v>
      </c>
      <c r="J46" s="10">
        <f ca="1">IF(ROW($N46)-4&lt;BB_Periods, "", AVERAGE(INDIRECT(ADDRESS(ROW($F46)-RSI_Periods +1, MATCH("Adj Close", Price_Header,0))): INDIRECT(ADDRESS(ROW($F46),MATCH("Adj Close", Price_Header,0)))))</f>
        <v>64.272142857142853</v>
      </c>
      <c r="K46" s="10">
        <f ca="1">IF(tbl_RCL[[#This Row],[BB_Mean]]="", "", tbl_RCL[[#This Row],[BB_Mean]]+(BB_Width*tbl_RCL[[#This Row],[BB_Stdev]]))</f>
        <v>68.922358260401424</v>
      </c>
      <c r="L46" s="10">
        <f ca="1">IF(tbl_RCL[[#This Row],[BB_Mean]]="", "", tbl_RCL[[#This Row],[BB_Mean]]-(BB_Width*tbl_RCL[[#This Row],[BB_Stdev]]))</f>
        <v>59.621927453884282</v>
      </c>
      <c r="M46" s="46">
        <f>IF(ROW(tbl_RCL[[#This Row],[Adj Close]])=5, 0, $F46-$F45)</f>
        <v>1.8399999999999892</v>
      </c>
      <c r="N46" s="46">
        <f>MAX(tbl_RCL[[#This Row],[Move]],0)</f>
        <v>1.8399999999999892</v>
      </c>
      <c r="O46" s="46">
        <f>MAX(-tbl_RCL[[#This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0.83571428571428485</v>
      </c>
      <c r="Q46" s="46">
        <f ca="1">IF(ROW($O46)-5&lt;RSI_Periods, "", AVERAGE(INDIRECT(ADDRESS(ROW($O46)-RSI_Periods +1, MATCH("Downmove", Price_Header,0))): INDIRECT(ADDRESS(ROW($O46),MATCH("Downmove", Price_Header,0)))))</f>
        <v>0.88785714285714235</v>
      </c>
      <c r="R46" s="46">
        <f ca="1">IF(tbl_RCL[[#This Row],[Avg_Upmove]]="", "", tbl_RCL[[#This Row],[Avg_Upmove]]/tbl_RCL[[#This Row],[Avg_Downmove]])</f>
        <v>0.94127111826226828</v>
      </c>
      <c r="S46" s="10">
        <f ca="1">IF(ROW($N46)-4&lt;BB_Periods, "", _xlfn.STDEV.S(INDIRECT(ADDRESS(ROW($F46)-RSI_Periods +1, MATCH("Adj Close", Price_Header,0))): INDIRECT(ADDRESS(ROW($F46),MATCH("Adj Close", Price_Header,0)))))</f>
        <v>2.3251077016292871</v>
      </c>
    </row>
    <row r="47" spans="1:19" x14ac:dyDescent="0.35">
      <c r="A47" s="8">
        <v>44112</v>
      </c>
      <c r="B47" s="10">
        <v>68.81</v>
      </c>
      <c r="C47" s="10">
        <v>69.36</v>
      </c>
      <c r="D47" s="10">
        <v>67.25</v>
      </c>
      <c r="E47" s="10">
        <v>69.290000000000006</v>
      </c>
      <c r="F47" s="10">
        <v>69.290000000000006</v>
      </c>
      <c r="G47">
        <v>4740300</v>
      </c>
      <c r="H47" s="10">
        <f>IF(tbl_RCL[[#This Row],[Date]]=$A$5, $F47, EMA_Beta*$H46 + (1-EMA_Beta)*$F47)</f>
        <v>65.910449469336186</v>
      </c>
      <c r="I47" s="46">
        <f ca="1">IF(tbl_RCL[[#This Row],[RS]]= "", "", 100-(100/(1+tbl_RCL[[#This Row],[RS]])))</f>
        <v>58.687782805429876</v>
      </c>
      <c r="J47" s="10">
        <f ca="1">IF(ROW($N47)-4&lt;BB_Periods, "", AVERAGE(INDIRECT(ADDRESS(ROW($F47)-RSI_Periods +1, MATCH("Adj Close", Price_Header,0))): INDIRECT(ADDRESS(ROW($F47),MATCH("Adj Close", Price_Header,0)))))</f>
        <v>64.546428571428564</v>
      </c>
      <c r="K47" s="10">
        <f ca="1">IF(tbl_RCL[[#This Row],[BB_Mean]]="", "", tbl_RCL[[#This Row],[BB_Mean]]+(BB_Width*tbl_RCL[[#This Row],[BB_Stdev]]))</f>
        <v>69.896278933924592</v>
      </c>
      <c r="L47" s="10">
        <f ca="1">IF(tbl_RCL[[#This Row],[BB_Mean]]="", "", tbl_RCL[[#This Row],[BB_Mean]]-(BB_Width*tbl_RCL[[#This Row],[BB_Stdev]]))</f>
        <v>59.196578208932536</v>
      </c>
      <c r="M47" s="46">
        <f>IF(ROW(tbl_RCL[[#This Row],[Adj Close]])=5, 0, $F47-$F46)</f>
        <v>1.2700000000000102</v>
      </c>
      <c r="N47" s="46">
        <f>MAX(tbl_RCL[[#This Row],[Move]],0)</f>
        <v>1.2700000000000102</v>
      </c>
      <c r="O47" s="46">
        <f>MAX(-tbl_RCL[[#This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0.92642857142857138</v>
      </c>
      <c r="Q47" s="46">
        <f ca="1">IF(ROW($O47)-5&lt;RSI_Periods, "", AVERAGE(INDIRECT(ADDRESS(ROW($O47)-RSI_Periods +1, MATCH("Downmove", Price_Header,0))): INDIRECT(ADDRESS(ROW($O47),MATCH("Downmove", Price_Header,0)))))</f>
        <v>0.6521428571428568</v>
      </c>
      <c r="R47" s="46">
        <f ca="1">IF(tbl_RCL[[#This Row],[Avg_Upmove]]="", "", tbl_RCL[[#This Row],[Avg_Upmove]]/tbl_RCL[[#This Row],[Avg_Downmove]])</f>
        <v>1.4205914567360358</v>
      </c>
      <c r="S47" s="10">
        <f ca="1">IF(ROW($N47)-4&lt;BB_Periods, "", _xlfn.STDEV.S(INDIRECT(ADDRESS(ROW($F47)-RSI_Periods +1, MATCH("Adj Close", Price_Header,0))): INDIRECT(ADDRESS(ROW($F47),MATCH("Adj Close", Price_Header,0)))))</f>
        <v>2.6749251812480157</v>
      </c>
    </row>
    <row r="48" spans="1:19" x14ac:dyDescent="0.35">
      <c r="A48" s="8">
        <v>44113</v>
      </c>
      <c r="B48" s="10">
        <v>69.400000000000006</v>
      </c>
      <c r="C48" s="10">
        <v>72.11</v>
      </c>
      <c r="D48" s="10">
        <v>68.8</v>
      </c>
      <c r="E48" s="10">
        <v>71.09</v>
      </c>
      <c r="F48" s="10">
        <v>71.09</v>
      </c>
      <c r="G48">
        <v>6369900</v>
      </c>
      <c r="H48" s="10">
        <f>IF(tbl_RCL[[#This Row],[Date]]=$A$5, $F48, EMA_Beta*$H47 + (1-EMA_Beta)*$F48)</f>
        <v>66.428404522402573</v>
      </c>
      <c r="I48" s="46">
        <f ca="1">IF(tbl_RCL[[#This Row],[RS]]= "", "", 100-(100/(1+tbl_RCL[[#This Row],[RS]])))</f>
        <v>77.087682672233839</v>
      </c>
      <c r="J48" s="10">
        <f ca="1">IF(ROW($N48)-4&lt;BB_Periods, "", AVERAGE(INDIRECT(ADDRESS(ROW($F48)-RSI_Periods +1, MATCH("Adj Close", Price_Header,0))): INDIRECT(ADDRESS(ROW($F48),MATCH("Adj Close", Price_Header,0)))))</f>
        <v>65.287857142857149</v>
      </c>
      <c r="K48" s="10">
        <f ca="1">IF(tbl_RCL[[#This Row],[BB_Mean]]="", "", tbl_RCL[[#This Row],[BB_Mean]]+(BB_Width*tbl_RCL[[#This Row],[BB_Stdev]]))</f>
        <v>71.195402141592908</v>
      </c>
      <c r="L48" s="10">
        <f ca="1">IF(tbl_RCL[[#This Row],[BB_Mean]]="", "", tbl_RCL[[#This Row],[BB_Mean]]-(BB_Width*tbl_RCL[[#This Row],[BB_Stdev]]))</f>
        <v>59.380312144121383</v>
      </c>
      <c r="M48" s="46">
        <f>IF(ROW(tbl_RCL[[#This Row],[Adj Close]])=5, 0, $F48-$F47)</f>
        <v>1.7999999999999972</v>
      </c>
      <c r="N48" s="46">
        <f>MAX(tbl_RCL[[#This Row],[Move]],0)</f>
        <v>1.7999999999999972</v>
      </c>
      <c r="O48" s="46">
        <f>MAX(-tbl_RCL[[#This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1.0549999999999997</v>
      </c>
      <c r="Q48" s="46">
        <f ca="1">IF(ROW($O48)-5&lt;RSI_Periods, "", AVERAGE(INDIRECT(ADDRESS(ROW($O48)-RSI_Periods +1, MATCH("Downmove", Price_Header,0))): INDIRECT(ADDRESS(ROW($O48),MATCH("Downmove", Price_Header,0)))))</f>
        <v>0.31357142857142811</v>
      </c>
      <c r="R48" s="46">
        <f ca="1">IF(tbl_RCL[[#This Row],[Avg_Upmove]]="", "", tbl_RCL[[#This Row],[Avg_Upmove]]/tbl_RCL[[#This Row],[Avg_Downmove]])</f>
        <v>3.3644646924829198</v>
      </c>
      <c r="S48" s="10">
        <f ca="1">IF(ROW($N48)-4&lt;BB_Periods, "", _xlfn.STDEV.S(INDIRECT(ADDRESS(ROW($F48)-RSI_Periods +1, MATCH("Adj Close", Price_Header,0))): INDIRECT(ADDRESS(ROW($F48),MATCH("Adj Close", Price_Header,0)))))</f>
        <v>2.9537724993678816</v>
      </c>
    </row>
    <row r="49" spans="1:19" x14ac:dyDescent="0.35">
      <c r="A49" s="8">
        <v>44116</v>
      </c>
      <c r="B49" s="10">
        <v>70.36</v>
      </c>
      <c r="C49" s="10">
        <v>70.73</v>
      </c>
      <c r="D49" s="10">
        <v>69.180000000000007</v>
      </c>
      <c r="E49" s="10">
        <v>69.83</v>
      </c>
      <c r="F49" s="10">
        <v>69.83</v>
      </c>
      <c r="G49">
        <v>4336100</v>
      </c>
      <c r="H49" s="10">
        <f>IF(tbl_RCL[[#This Row],[Date]]=$A$5, $F49, EMA_Beta*$H48 + (1-EMA_Beta)*$F49)</f>
        <v>66.768564070162313</v>
      </c>
      <c r="I49" s="46">
        <f ca="1">IF(tbl_RCL[[#This Row],[RS]]= "", "", 100-(100/(1+tbl_RCL[[#This Row],[RS]])))</f>
        <v>69.882729211087423</v>
      </c>
      <c r="J49" s="10">
        <f ca="1">IF(ROW($N49)-4&lt;BB_Periods, "", AVERAGE(INDIRECT(ADDRESS(ROW($F49)-RSI_Periods +1, MATCH("Adj Close", Price_Header,0))): INDIRECT(ADDRESS(ROW($F49),MATCH("Adj Close", Price_Header,0)))))</f>
        <v>65.820714285714288</v>
      </c>
      <c r="K49" s="10">
        <f ca="1">IF(tbl_RCL[[#This Row],[BB_Mean]]="", "", tbl_RCL[[#This Row],[BB_Mean]]+(BB_Width*tbl_RCL[[#This Row],[BB_Stdev]]))</f>
        <v>71.93662274347723</v>
      </c>
      <c r="L49" s="10">
        <f ca="1">IF(tbl_RCL[[#This Row],[BB_Mean]]="", "", tbl_RCL[[#This Row],[BB_Mean]]-(BB_Width*tbl_RCL[[#This Row],[BB_Stdev]]))</f>
        <v>59.704805827951347</v>
      </c>
      <c r="M49" s="46">
        <f>IF(ROW(tbl_RCL[[#This Row],[Adj Close]])=5, 0, $F49-$F48)</f>
        <v>-1.2600000000000051</v>
      </c>
      <c r="N49" s="46">
        <f>MAX(tbl_RCL[[#This Row],[Move]],0)</f>
        <v>0</v>
      </c>
      <c r="O49" s="46">
        <f>MAX(-tbl_RCL[[#This Row],[Move]],0)</f>
        <v>1.2600000000000051</v>
      </c>
      <c r="P49" s="46">
        <f ca="1">IF(ROW($N49)-5&lt;RSI_Periods, "", AVERAGE(INDIRECT(ADDRESS(ROW($N49)-RSI_Periods +1, MATCH("Upmove", Price_Header,0))): INDIRECT(ADDRESS(ROW($N49),MATCH("Upmove", Price_Header,0)))))</f>
        <v>0.93642857142857139</v>
      </c>
      <c r="Q49" s="46">
        <f ca="1">IF(ROW($O49)-5&lt;RSI_Periods, "", AVERAGE(INDIRECT(ADDRESS(ROW($O49)-RSI_Periods +1, MATCH("Downmove", Price_Header,0))): INDIRECT(ADDRESS(ROW($O49),MATCH("Downmove", Price_Header,0)))))</f>
        <v>0.40357142857142847</v>
      </c>
      <c r="R49" s="46">
        <f ca="1">IF(tbl_RCL[[#This Row],[Avg_Upmove]]="", "", tbl_RCL[[#This Row],[Avg_Upmove]]/tbl_RCL[[#This Row],[Avg_Downmove]])</f>
        <v>2.3203539823008854</v>
      </c>
      <c r="S49" s="10">
        <f ca="1">IF(ROW($N49)-4&lt;BB_Periods, "", _xlfn.STDEV.S(INDIRECT(ADDRESS(ROW($F49)-RSI_Periods +1, MATCH("Adj Close", Price_Header,0))): INDIRECT(ADDRESS(ROW($F49),MATCH("Adj Close", Price_Header,0)))))</f>
        <v>3.0579542288814703</v>
      </c>
    </row>
    <row r="50" spans="1:19" x14ac:dyDescent="0.35">
      <c r="A50" s="8">
        <v>44117</v>
      </c>
      <c r="B50" s="10">
        <v>64.19</v>
      </c>
      <c r="C50" s="10">
        <v>64.64</v>
      </c>
      <c r="D50" s="10">
        <v>60.03</v>
      </c>
      <c r="E50" s="10">
        <v>60.61</v>
      </c>
      <c r="F50" s="10">
        <v>60.61</v>
      </c>
      <c r="G50">
        <v>23821400</v>
      </c>
      <c r="H50" s="10">
        <f>IF(tbl_RCL[[#This Row],[Date]]=$A$5, $F50, EMA_Beta*$H49 + (1-EMA_Beta)*$F50)</f>
        <v>66.152707663146074</v>
      </c>
      <c r="I50" s="46">
        <f ca="1">IF(tbl_RCL[[#This Row],[RS]]= "", "", 100-(100/(1+tbl_RCL[[#This Row],[RS]])))</f>
        <v>48.826815642458094</v>
      </c>
      <c r="J50" s="10">
        <f ca="1">IF(ROW($N50)-4&lt;BB_Periods, "", AVERAGE(INDIRECT(ADDRESS(ROW($F50)-RSI_Periods +1, MATCH("Adj Close", Price_Header,0))): INDIRECT(ADDRESS(ROW($F50),MATCH("Adj Close", Price_Header,0)))))</f>
        <v>65.775714285714287</v>
      </c>
      <c r="K50" s="10">
        <f ca="1">IF(tbl_RCL[[#This Row],[BB_Mean]]="", "", tbl_RCL[[#This Row],[BB_Mean]]+(BB_Width*tbl_RCL[[#This Row],[BB_Stdev]]))</f>
        <v>72.044178527938527</v>
      </c>
      <c r="L50" s="10">
        <f ca="1">IF(tbl_RCL[[#This Row],[BB_Mean]]="", "", tbl_RCL[[#This Row],[BB_Mean]]-(BB_Width*tbl_RCL[[#This Row],[BB_Stdev]]))</f>
        <v>59.507250043490039</v>
      </c>
      <c r="M50" s="46">
        <f>IF(ROW(tbl_RCL[[#This Row],[Adj Close]])=5, 0, $F50-$F49)</f>
        <v>-9.2199999999999989</v>
      </c>
      <c r="N50" s="46">
        <f>MAX(tbl_RCL[[#This Row],[Move]],0)</f>
        <v>0</v>
      </c>
      <c r="O50" s="46">
        <f>MAX(-tbl_RCL[[#This Row],[Move]],0)</f>
        <v>9.2199999999999989</v>
      </c>
      <c r="P50" s="46">
        <f ca="1">IF(ROW($N50)-5&lt;RSI_Periods, "", AVERAGE(INDIRECT(ADDRESS(ROW($N50)-RSI_Periods +1, MATCH("Upmove", Price_Header,0))): INDIRECT(ADDRESS(ROW($N50),MATCH("Upmove", Price_Header,0)))))</f>
        <v>0.93642857142857139</v>
      </c>
      <c r="Q50" s="46">
        <f ca="1">IF(ROW($O50)-5&lt;RSI_Periods, "", AVERAGE(INDIRECT(ADDRESS(ROW($O50)-RSI_Periods +1, MATCH("Downmove", Price_Header,0))): INDIRECT(ADDRESS(ROW($O50),MATCH("Downmove", Price_Header,0)))))</f>
        <v>0.98142857142857154</v>
      </c>
      <c r="R50" s="46">
        <f ca="1">IF(tbl_RCL[[#This Row],[Avg_Upmove]]="", "", tbl_RCL[[#This Row],[Avg_Upmove]]/tbl_RCL[[#This Row],[Avg_Downmove]])</f>
        <v>0.95414847161572036</v>
      </c>
      <c r="S50" s="10">
        <f ca="1">IF(ROW($N50)-4&lt;BB_Periods, "", _xlfn.STDEV.S(INDIRECT(ADDRESS(ROW($F50)-RSI_Periods +1, MATCH("Adj Close", Price_Header,0))): INDIRECT(ADDRESS(ROW($F50),MATCH("Adj Close", Price_Header,0)))))</f>
        <v>3.1342321211121225</v>
      </c>
    </row>
    <row r="51" spans="1:19" x14ac:dyDescent="0.35">
      <c r="A51" s="8">
        <v>44118</v>
      </c>
      <c r="B51" s="10">
        <v>61.35</v>
      </c>
      <c r="C51" s="10">
        <v>62.48</v>
      </c>
      <c r="D51" s="10">
        <v>59.64</v>
      </c>
      <c r="E51" s="10">
        <v>59.91</v>
      </c>
      <c r="F51" s="10">
        <v>59.91</v>
      </c>
      <c r="G51">
        <v>18072000</v>
      </c>
      <c r="H51" s="10">
        <f>IF(tbl_RCL[[#This Row],[Date]]=$A$5, $F51, EMA_Beta*$H50 + (1-EMA_Beta)*$F51)</f>
        <v>65.528436896831465</v>
      </c>
      <c r="I51" s="46">
        <f ca="1">IF(tbl_RCL[[#This Row],[RS]]= "", "", 100-(100/(1+tbl_RCL[[#This Row],[RS]])))</f>
        <v>49.885844748858439</v>
      </c>
      <c r="J51" s="10">
        <f ca="1">IF(ROW($N51)-4&lt;BB_Periods, "", AVERAGE(INDIRECT(ADDRESS(ROW($F51)-RSI_Periods +1, MATCH("Adj Close", Price_Header,0))): INDIRECT(ADDRESS(ROW($F51),MATCH("Adj Close", Price_Header,0)))))</f>
        <v>65.771428571428572</v>
      </c>
      <c r="K51" s="10">
        <f ca="1">IF(tbl_RCL[[#This Row],[BB_Mean]]="", "", tbl_RCL[[#This Row],[BB_Mean]]+(BB_Width*tbl_RCL[[#This Row],[BB_Stdev]]))</f>
        <v>72.057050049264902</v>
      </c>
      <c r="L51" s="10">
        <f ca="1">IF(tbl_RCL[[#This Row],[BB_Mean]]="", "", tbl_RCL[[#This Row],[BB_Mean]]-(BB_Width*tbl_RCL[[#This Row],[BB_Stdev]]))</f>
        <v>59.485807093592243</v>
      </c>
      <c r="M51" s="46">
        <f>IF(ROW(tbl_RCL[[#This Row],[Adj Close]])=5, 0, $F51-$F50)</f>
        <v>-0.70000000000000284</v>
      </c>
      <c r="N51" s="46">
        <f>MAX(tbl_RCL[[#This Row],[Move]],0)</f>
        <v>0</v>
      </c>
      <c r="O51" s="46">
        <f>MAX(-tbl_RCL[[#This Row],[Move]],0)</f>
        <v>0.70000000000000284</v>
      </c>
      <c r="P51" s="46">
        <f ca="1">IF(ROW($N51)-5&lt;RSI_Periods, "", AVERAGE(INDIRECT(ADDRESS(ROW($N51)-RSI_Periods +1, MATCH("Upmove", Price_Header,0))): INDIRECT(ADDRESS(ROW($N51),MATCH("Upmove", Price_Header,0)))))</f>
        <v>0.93642857142857139</v>
      </c>
      <c r="Q51" s="46">
        <f ca="1">IF(ROW($O51)-5&lt;RSI_Periods, "", AVERAGE(INDIRECT(ADDRESS(ROW($O51)-RSI_Periods +1, MATCH("Downmove", Price_Header,0))): INDIRECT(ADDRESS(ROW($O51),MATCH("Downmove", Price_Header,0)))))</f>
        <v>0.94071428571428584</v>
      </c>
      <c r="R51" s="46">
        <f ca="1">IF(tbl_RCL[[#This Row],[Avg_Upmove]]="", "", tbl_RCL[[#This Row],[Avg_Upmove]]/tbl_RCL[[#This Row],[Avg_Downmove]])</f>
        <v>0.99544419134396334</v>
      </c>
      <c r="S51" s="10">
        <f ca="1">IF(ROW($N51)-4&lt;BB_Periods, "", _xlfn.STDEV.S(INDIRECT(ADDRESS(ROW($F51)-RSI_Periods +1, MATCH("Adj Close", Price_Header,0))): INDIRECT(ADDRESS(ROW($F51),MATCH("Adj Close", Price_Header,0)))))</f>
        <v>3.1428107389181656</v>
      </c>
    </row>
    <row r="52" spans="1:19" x14ac:dyDescent="0.35">
      <c r="A52" s="8">
        <v>44119</v>
      </c>
      <c r="B52" s="10">
        <v>58.67</v>
      </c>
      <c r="C52" s="10">
        <v>59.55</v>
      </c>
      <c r="D52" s="10">
        <v>57.85</v>
      </c>
      <c r="E52" s="10">
        <v>59.38</v>
      </c>
      <c r="F52" s="10">
        <v>59.38</v>
      </c>
      <c r="G52">
        <v>7955200</v>
      </c>
      <c r="H52" s="10">
        <f>IF(tbl_RCL[[#This Row],[Date]]=$A$5, $F52, EMA_Beta*$H51 + (1-EMA_Beta)*$F52)</f>
        <v>64.913593207148324</v>
      </c>
      <c r="I52" s="46">
        <f ca="1">IF(tbl_RCL[[#This Row],[RS]]= "", "", 100-(100/(1+tbl_RCL[[#This Row],[RS]])))</f>
        <v>38.260477692654341</v>
      </c>
      <c r="J52" s="10">
        <f ca="1">IF(ROW($N52)-4&lt;BB_Periods, "", AVERAGE(INDIRECT(ADDRESS(ROW($F52)-RSI_Periods +1, MATCH("Adj Close", Price_Header,0))): INDIRECT(ADDRESS(ROW($F52),MATCH("Adj Close", Price_Header,0)))))</f>
        <v>65.39928571428571</v>
      </c>
      <c r="K52" s="10">
        <f ca="1">IF(tbl_RCL[[#This Row],[BB_Mean]]="", "", tbl_RCL[[#This Row],[BB_Mean]]+(BB_Width*tbl_RCL[[#This Row],[BB_Stdev]]))</f>
        <v>72.544377474629755</v>
      </c>
      <c r="L52" s="10">
        <f ca="1">IF(tbl_RCL[[#This Row],[BB_Mean]]="", "", tbl_RCL[[#This Row],[BB_Mean]]-(BB_Width*tbl_RCL[[#This Row],[BB_Stdev]]))</f>
        <v>58.254193953941673</v>
      </c>
      <c r="M52" s="46">
        <f>IF(ROW(tbl_RCL[[#This Row],[Adj Close]])=5, 0, $F52-$F51)</f>
        <v>-0.52999999999999403</v>
      </c>
      <c r="N52" s="46">
        <f>MAX(tbl_RCL[[#This Row],[Move]],0)</f>
        <v>0</v>
      </c>
      <c r="O52" s="46">
        <f>MAX(-tbl_RCL[[#This Row],[Move]],0)</f>
        <v>0.52999999999999403</v>
      </c>
      <c r="P52" s="46">
        <f ca="1">IF(ROW($N52)-5&lt;RSI_Periods, "", AVERAGE(INDIRECT(ADDRESS(ROW($N52)-RSI_Periods +1, MATCH("Upmove", Price_Header,0))): INDIRECT(ADDRESS(ROW($N52),MATCH("Upmove", Price_Header,0)))))</f>
        <v>0.60642857142857109</v>
      </c>
      <c r="Q52" s="46">
        <f ca="1">IF(ROW($O52)-5&lt;RSI_Periods, "", AVERAGE(INDIRECT(ADDRESS(ROW($O52)-RSI_Periods +1, MATCH("Downmove", Price_Header,0))): INDIRECT(ADDRESS(ROW($O52),MATCH("Downmove", Price_Header,0)))))</f>
        <v>0.97857142857142831</v>
      </c>
      <c r="R52" s="46">
        <f ca="1">IF(tbl_RCL[[#This Row],[Avg_Upmove]]="", "", tbl_RCL[[#This Row],[Avg_Upmove]]/tbl_RCL[[#This Row],[Avg_Downmove]])</f>
        <v>0.61970802919708012</v>
      </c>
      <c r="S52" s="10">
        <f ca="1">IF(ROW($N52)-4&lt;BB_Periods, "", _xlfn.STDEV.S(INDIRECT(ADDRESS(ROW($F52)-RSI_Periods +1, MATCH("Adj Close", Price_Header,0))): INDIRECT(ADDRESS(ROW($F52),MATCH("Adj Close", Price_Header,0)))))</f>
        <v>3.5725458801720196</v>
      </c>
    </row>
    <row r="53" spans="1:19" x14ac:dyDescent="0.35">
      <c r="A53" s="8">
        <v>44120</v>
      </c>
      <c r="B53" s="10">
        <v>59.49</v>
      </c>
      <c r="C53" s="10">
        <v>59.98</v>
      </c>
      <c r="D53" s="10">
        <v>57.9</v>
      </c>
      <c r="E53" s="10">
        <v>58.83</v>
      </c>
      <c r="F53" s="10">
        <v>58.83</v>
      </c>
      <c r="G53">
        <v>6332200</v>
      </c>
      <c r="H53" s="10">
        <f>IF(tbl_RCL[[#This Row],[Date]]=$A$5, $F53, EMA_Beta*$H52 + (1-EMA_Beta)*$F53)</f>
        <v>64.305233886433498</v>
      </c>
      <c r="I53" s="46">
        <f ca="1">IF(tbl_RCL[[#This Row],[RS]]= "", "", 100-(100/(1+tbl_RCL[[#This Row],[RS]])))</f>
        <v>32.909604519773993</v>
      </c>
      <c r="J53" s="10">
        <f ca="1">IF(ROW($N53)-4&lt;BB_Periods, "", AVERAGE(INDIRECT(ADDRESS(ROW($F53)-RSI_Periods +1, MATCH("Adj Close", Price_Header,0))): INDIRECT(ADDRESS(ROW($F53),MATCH("Adj Close", Price_Header,0)))))</f>
        <v>64.880714285714291</v>
      </c>
      <c r="K53" s="10">
        <f ca="1">IF(tbl_RCL[[#This Row],[BB_Mean]]="", "", tbl_RCL[[#This Row],[BB_Mean]]+(BB_Width*tbl_RCL[[#This Row],[BB_Stdev]]))</f>
        <v>72.819590254537061</v>
      </c>
      <c r="L53" s="10">
        <f ca="1">IF(tbl_RCL[[#This Row],[BB_Mean]]="", "", tbl_RCL[[#This Row],[BB_Mean]]-(BB_Width*tbl_RCL[[#This Row],[BB_Stdev]]))</f>
        <v>56.94183831689152</v>
      </c>
      <c r="M53" s="46">
        <f>IF(ROW(tbl_RCL[[#This Row],[Adj Close]])=5, 0, $F53-$F52)</f>
        <v>-0.55000000000000426</v>
      </c>
      <c r="N53" s="46">
        <f>MAX(tbl_RCL[[#This Row],[Move]],0)</f>
        <v>0</v>
      </c>
      <c r="O53" s="46">
        <f>MAX(-tbl_RCL[[#This Row],[Move]],0)</f>
        <v>0.55000000000000426</v>
      </c>
      <c r="P53" s="46">
        <f ca="1">IF(ROW($N53)-5&lt;RSI_Periods, "", AVERAGE(INDIRECT(ADDRESS(ROW($N53)-RSI_Periods +1, MATCH("Upmove", Price_Header,0))): INDIRECT(ADDRESS(ROW($N53),MATCH("Upmove", Price_Header,0)))))</f>
        <v>0.49928571428571394</v>
      </c>
      <c r="Q53" s="46">
        <f ca="1">IF(ROW($O53)-5&lt;RSI_Periods, "", AVERAGE(INDIRECT(ADDRESS(ROW($O53)-RSI_Periods +1, MATCH("Downmove", Price_Header,0))): INDIRECT(ADDRESS(ROW($O53),MATCH("Downmove", Price_Header,0)))))</f>
        <v>1.0178571428571428</v>
      </c>
      <c r="R53" s="46">
        <f ca="1">IF(tbl_RCL[[#This Row],[Avg_Upmove]]="", "", tbl_RCL[[#This Row],[Avg_Upmove]]/tbl_RCL[[#This Row],[Avg_Downmove]])</f>
        <v>0.49052631578947337</v>
      </c>
      <c r="S53" s="10">
        <f ca="1">IF(ROW($N53)-4&lt;BB_Periods, "", _xlfn.STDEV.S(INDIRECT(ADDRESS(ROW($F53)-RSI_Periods +1, MATCH("Adj Close", Price_Header,0))): INDIRECT(ADDRESS(ROW($F53),MATCH("Adj Close", Price_Header,0)))))</f>
        <v>3.969437984411385</v>
      </c>
    </row>
    <row r="54" spans="1:19" x14ac:dyDescent="0.35">
      <c r="A54" s="8">
        <v>44123</v>
      </c>
      <c r="B54" s="10">
        <v>59.52</v>
      </c>
      <c r="C54" s="10">
        <v>60.87</v>
      </c>
      <c r="D54" s="10">
        <v>58.77</v>
      </c>
      <c r="E54" s="10">
        <v>59.71</v>
      </c>
      <c r="F54" s="10">
        <v>59.71</v>
      </c>
      <c r="G54">
        <v>6251900</v>
      </c>
      <c r="H54" s="10">
        <f>IF(tbl_RCL[[#This Row],[Date]]=$A$5, $F54, EMA_Beta*$H53 + (1-EMA_Beta)*$F54)</f>
        <v>63.845710497790144</v>
      </c>
      <c r="I54" s="46">
        <f ca="1">IF(tbl_RCL[[#This Row],[RS]]= "", "", 100-(100/(1+tbl_RCL[[#This Row],[RS]])))</f>
        <v>38.521781693587847</v>
      </c>
      <c r="J54" s="10">
        <f ca="1">IF(ROW($N54)-4&lt;BB_Periods, "", AVERAGE(INDIRECT(ADDRESS(ROW($F54)-RSI_Periods +1, MATCH("Adj Close", Price_Header,0))): INDIRECT(ADDRESS(ROW($F54),MATCH("Adj Close", Price_Header,0)))))</f>
        <v>64.545714285714297</v>
      </c>
      <c r="K54" s="10">
        <f ca="1">IF(tbl_RCL[[#This Row],[BB_Mean]]="", "", tbl_RCL[[#This Row],[BB_Mean]]+(BB_Width*tbl_RCL[[#This Row],[BB_Stdev]]))</f>
        <v>72.953910705456593</v>
      </c>
      <c r="L54" s="10">
        <f ca="1">IF(tbl_RCL[[#This Row],[BB_Mean]]="", "", tbl_RCL[[#This Row],[BB_Mean]]-(BB_Width*tbl_RCL[[#This Row],[BB_Stdev]]))</f>
        <v>56.137517865972008</v>
      </c>
      <c r="M54" s="46">
        <f>IF(ROW(tbl_RCL[[#This Row],[Adj Close]])=5, 0, $F54-$F53)</f>
        <v>0.88000000000000256</v>
      </c>
      <c r="N54" s="46">
        <f>MAX(tbl_RCL[[#This Row],[Move]],0)</f>
        <v>0.88000000000000256</v>
      </c>
      <c r="O54" s="46">
        <f>MAX(-tbl_RCL[[#This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0.56214285714285694</v>
      </c>
      <c r="Q54" s="46">
        <f ca="1">IF(ROW($O54)-5&lt;RSI_Periods, "", AVERAGE(INDIRECT(ADDRESS(ROW($O54)-RSI_Periods +1, MATCH("Downmove", Price_Header,0))): INDIRECT(ADDRESS(ROW($O54),MATCH("Downmove", Price_Header,0)))))</f>
        <v>0.89714285714285735</v>
      </c>
      <c r="R54" s="46">
        <f ca="1">IF(tbl_RCL[[#This Row],[Avg_Upmove]]="", "", tbl_RCL[[#This Row],[Avg_Upmove]]/tbl_RCL[[#This Row],[Avg_Downmove]])</f>
        <v>0.6265923566878977</v>
      </c>
      <c r="S54" s="10">
        <f ca="1">IF(ROW($N54)-4&lt;BB_Periods, "", _xlfn.STDEV.S(INDIRECT(ADDRESS(ROW($F54)-RSI_Periods +1, MATCH("Adj Close", Price_Header,0))): INDIRECT(ADDRESS(ROW($F54),MATCH("Adj Close", Price_Header,0)))))</f>
        <v>4.2040982098711446</v>
      </c>
    </row>
    <row r="55" spans="1:19" x14ac:dyDescent="0.35">
      <c r="A55" s="8">
        <v>44124</v>
      </c>
      <c r="B55" s="10">
        <v>60.8</v>
      </c>
      <c r="C55" s="10">
        <v>62.04</v>
      </c>
      <c r="D55" s="10">
        <v>60.02</v>
      </c>
      <c r="E55" s="10">
        <v>61.79</v>
      </c>
      <c r="F55" s="10">
        <v>61.79</v>
      </c>
      <c r="G55">
        <v>6258700</v>
      </c>
      <c r="H55" s="10">
        <f>IF(tbl_RCL[[#This Row],[Date]]=$A$5, $F55, EMA_Beta*$H54 + (1-EMA_Beta)*$F55)</f>
        <v>63.640139448011126</v>
      </c>
      <c r="I55" s="46">
        <f ca="1">IF(tbl_RCL[[#This Row],[RS]]= "", "", 100-(100/(1+tbl_RCL[[#This Row],[RS]])))</f>
        <v>43.372407574391332</v>
      </c>
      <c r="J55" s="10">
        <f ca="1">IF(ROW($N55)-4&lt;BB_Periods, "", AVERAGE(INDIRECT(ADDRESS(ROW($F55)-RSI_Periods +1, MATCH("Adj Close", Price_Header,0))): INDIRECT(ADDRESS(ROW($F55),MATCH("Adj Close", Price_Header,0)))))</f>
        <v>64.335714285714289</v>
      </c>
      <c r="K55" s="10">
        <f ca="1">IF(tbl_RCL[[#This Row],[BB_Mean]]="", "", tbl_RCL[[#This Row],[BB_Mean]]+(BB_Width*tbl_RCL[[#This Row],[BB_Stdev]]))</f>
        <v>72.869995254158653</v>
      </c>
      <c r="L55" s="10">
        <f ca="1">IF(tbl_RCL[[#This Row],[BB_Mean]]="", "", tbl_RCL[[#This Row],[BB_Mean]]-(BB_Width*tbl_RCL[[#This Row],[BB_Stdev]]))</f>
        <v>55.801433317269925</v>
      </c>
      <c r="M55" s="46">
        <f>IF(ROW(tbl_RCL[[#This Row],[Adj Close]])=5, 0, $F55-$F54)</f>
        <v>2.0799999999999983</v>
      </c>
      <c r="N55" s="46">
        <f>MAX(tbl_RCL[[#This Row],[Move]],0)</f>
        <v>2.0799999999999983</v>
      </c>
      <c r="O55" s="46">
        <f>MAX(-tbl_RCL[[#This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0.68714285714285694</v>
      </c>
      <c r="Q55" s="46">
        <f ca="1">IF(ROW($O55)-5&lt;RSI_Periods, "", AVERAGE(INDIRECT(ADDRESS(ROW($O55)-RSI_Periods +1, MATCH("Downmove", Price_Header,0))): INDIRECT(ADDRESS(ROW($O55),MATCH("Downmove", Price_Header,0)))))</f>
        <v>0.89714285714285735</v>
      </c>
      <c r="R55" s="46">
        <f ca="1">IF(tbl_RCL[[#This Row],[Avg_Upmove]]="", "", tbl_RCL[[#This Row],[Avg_Upmove]]/tbl_RCL[[#This Row],[Avg_Downmove]])</f>
        <v>0.76592356687898044</v>
      </c>
      <c r="S55" s="10">
        <f ca="1">IF(ROW($N55)-4&lt;BB_Periods, "", _xlfn.STDEV.S(INDIRECT(ADDRESS(ROW($F55)-RSI_Periods +1, MATCH("Adj Close", Price_Header,0))): INDIRECT(ADDRESS(ROW($F55),MATCH("Adj Close", Price_Header,0)))))</f>
        <v>4.2671404842221827</v>
      </c>
    </row>
    <row r="56" spans="1:19" x14ac:dyDescent="0.35">
      <c r="A56" s="8">
        <v>44125</v>
      </c>
      <c r="B56" s="10">
        <v>61.56</v>
      </c>
      <c r="C56" s="10">
        <v>61.57</v>
      </c>
      <c r="D56" s="10">
        <v>60.02</v>
      </c>
      <c r="E56" s="10">
        <v>60.69</v>
      </c>
      <c r="F56" s="10">
        <v>60.69</v>
      </c>
      <c r="G56">
        <v>3869300</v>
      </c>
      <c r="H56" s="10">
        <f>IF(tbl_RCL[[#This Row],[Date]]=$A$5, $F56, EMA_Beta*$H55 + (1-EMA_Beta)*$F56)</f>
        <v>63.345125503210014</v>
      </c>
      <c r="I56" s="46">
        <f ca="1">IF(tbl_RCL[[#This Row],[RS]]= "", "", 100-(100/(1+tbl_RCL[[#This Row],[RS]])))</f>
        <v>39.180765805877122</v>
      </c>
      <c r="J56" s="10">
        <f ca="1">IF(ROW($N56)-4&lt;BB_Periods, "", AVERAGE(INDIRECT(ADDRESS(ROW($F56)-RSI_Periods +1, MATCH("Adj Close", Price_Header,0))): INDIRECT(ADDRESS(ROW($F56),MATCH("Adj Close", Price_Header,0)))))</f>
        <v>63.988571428571426</v>
      </c>
      <c r="K56" s="10">
        <f ca="1">IF(tbl_RCL[[#This Row],[BB_Mean]]="", "", tbl_RCL[[#This Row],[BB_Mean]]+(BB_Width*tbl_RCL[[#This Row],[BB_Stdev]]))</f>
        <v>72.703544775608151</v>
      </c>
      <c r="L56" s="10">
        <f ca="1">IF(tbl_RCL[[#This Row],[BB_Mean]]="", "", tbl_RCL[[#This Row],[BB_Mean]]-(BB_Width*tbl_RCL[[#This Row],[BB_Stdev]]))</f>
        <v>55.273598081534701</v>
      </c>
      <c r="M56" s="46">
        <f>IF(ROW(tbl_RCL[[#This Row],[Adj Close]])=5, 0, $F56-$F55)</f>
        <v>-1.1000000000000014</v>
      </c>
      <c r="N56" s="46">
        <f>MAX(tbl_RCL[[#This Row],[Move]],0)</f>
        <v>0</v>
      </c>
      <c r="O56" s="46">
        <f>MAX(-tbl_RCL[[#This Row],[Move]],0)</f>
        <v>1.1000000000000014</v>
      </c>
      <c r="P56" s="46">
        <f ca="1">IF(ROW($N56)-5&lt;RSI_Periods, "", AVERAGE(INDIRECT(ADDRESS(ROW($N56)-RSI_Periods +1, MATCH("Upmove", Price_Header,0))): INDIRECT(ADDRESS(ROW($N56),MATCH("Upmove", Price_Header,0)))))</f>
        <v>0.62857142857142889</v>
      </c>
      <c r="Q56" s="46">
        <f ca="1">IF(ROW($O56)-5&lt;RSI_Periods, "", AVERAGE(INDIRECT(ADDRESS(ROW($O56)-RSI_Periods +1, MATCH("Downmove", Price_Header,0))): INDIRECT(ADDRESS(ROW($O56),MATCH("Downmove", Price_Header,0)))))</f>
        <v>0.97571428571428598</v>
      </c>
      <c r="R56" s="46">
        <f ca="1">IF(tbl_RCL[[#This Row],[Avg_Upmove]]="", "", tbl_RCL[[#This Row],[Avg_Upmove]]/tbl_RCL[[#This Row],[Avg_Downmove]])</f>
        <v>0.64421669106881418</v>
      </c>
      <c r="S56" s="10">
        <f ca="1">IF(ROW($N56)-4&lt;BB_Periods, "", _xlfn.STDEV.S(INDIRECT(ADDRESS(ROW($F56)-RSI_Periods +1, MATCH("Adj Close", Price_Header,0))): INDIRECT(ADDRESS(ROW($F56),MATCH("Adj Close", Price_Header,0)))))</f>
        <v>4.3574866735183617</v>
      </c>
    </row>
    <row r="57" spans="1:19" x14ac:dyDescent="0.35">
      <c r="A57" s="8">
        <v>44126</v>
      </c>
      <c r="B57" s="10">
        <v>61.1</v>
      </c>
      <c r="C57" s="10">
        <v>63.46</v>
      </c>
      <c r="D57" s="10">
        <v>61.08</v>
      </c>
      <c r="E57" s="10">
        <v>63.39</v>
      </c>
      <c r="F57" s="10">
        <v>63.39</v>
      </c>
      <c r="G57">
        <v>6314300</v>
      </c>
      <c r="H57" s="10">
        <f>IF(tbl_RCL[[#This Row],[Date]]=$A$5, $F57, EMA_Beta*$H56 + (1-EMA_Beta)*$F57)</f>
        <v>63.349612952889011</v>
      </c>
      <c r="I57" s="46">
        <f ca="1">IF(tbl_RCL[[#This Row],[RS]]= "", "", 100-(100/(1+tbl_RCL[[#This Row],[RS]])))</f>
        <v>46.240450341777233</v>
      </c>
      <c r="J57" s="10">
        <f ca="1">IF(ROW($N57)-4&lt;BB_Periods, "", AVERAGE(INDIRECT(ADDRESS(ROW($F57)-RSI_Periods +1, MATCH("Adj Close", Price_Header,0))): INDIRECT(ADDRESS(ROW($F57),MATCH("Adj Close", Price_Header,0)))))</f>
        <v>63.855000000000011</v>
      </c>
      <c r="K57" s="10">
        <f ca="1">IF(tbl_RCL[[#This Row],[BB_Mean]]="", "", tbl_RCL[[#This Row],[BB_Mean]]+(BB_Width*tbl_RCL[[#This Row],[BB_Stdev]]))</f>
        <v>72.543311334554843</v>
      </c>
      <c r="L57" s="10">
        <f ca="1">IF(tbl_RCL[[#This Row],[BB_Mean]]="", "", tbl_RCL[[#This Row],[BB_Mean]]-(BB_Width*tbl_RCL[[#This Row],[BB_Stdev]]))</f>
        <v>55.166688665445186</v>
      </c>
      <c r="M57" s="46">
        <f>IF(ROW(tbl_RCL[[#This Row],[Adj Close]])=5, 0, $F57-$F56)</f>
        <v>2.7000000000000028</v>
      </c>
      <c r="N57" s="46">
        <f>MAX(tbl_RCL[[#This Row],[Move]],0)</f>
        <v>2.7000000000000028</v>
      </c>
      <c r="O57" s="46">
        <f>MAX(-tbl_RCL[[#This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0.82142857142857195</v>
      </c>
      <c r="Q57" s="46">
        <f ca="1">IF(ROW($O57)-5&lt;RSI_Periods, "", AVERAGE(INDIRECT(ADDRESS(ROW($O57)-RSI_Periods +1, MATCH("Downmove", Price_Header,0))): INDIRECT(ADDRESS(ROW($O57),MATCH("Downmove", Price_Header,0)))))</f>
        <v>0.95500000000000085</v>
      </c>
      <c r="R57" s="46">
        <f ca="1">IF(tbl_RCL[[#This Row],[Avg_Upmove]]="", "", tbl_RCL[[#This Row],[Avg_Upmove]]/tbl_RCL[[#This Row],[Avg_Downmove]])</f>
        <v>0.86013462976813737</v>
      </c>
      <c r="S57" s="10">
        <f ca="1">IF(ROW($N57)-4&lt;BB_Periods, "", _xlfn.STDEV.S(INDIRECT(ADDRESS(ROW($F57)-RSI_Periods +1, MATCH("Adj Close", Price_Header,0))): INDIRECT(ADDRESS(ROW($F57),MATCH("Adj Close", Price_Header,0)))))</f>
        <v>4.3441556672774135</v>
      </c>
    </row>
    <row r="58" spans="1:19" x14ac:dyDescent="0.35">
      <c r="A58" s="8">
        <v>44127</v>
      </c>
      <c r="B58" s="10">
        <v>63.91</v>
      </c>
      <c r="C58" s="10">
        <v>64.77</v>
      </c>
      <c r="D58" s="10">
        <v>62.88</v>
      </c>
      <c r="E58" s="10">
        <v>64.48</v>
      </c>
      <c r="F58" s="10">
        <v>64.48</v>
      </c>
      <c r="G58">
        <v>5040600</v>
      </c>
      <c r="H58" s="10">
        <f>IF(tbl_RCL[[#This Row],[Date]]=$A$5, $F58, EMA_Beta*$H57 + (1-EMA_Beta)*$F58)</f>
        <v>63.462651657600112</v>
      </c>
      <c r="I58" s="46">
        <f ca="1">IF(tbl_RCL[[#This Row],[RS]]= "", "", 100-(100/(1+tbl_RCL[[#This Row],[RS]])))</f>
        <v>48.516377649325634</v>
      </c>
      <c r="J58" s="10">
        <f ca="1">IF(ROW($N58)-4&lt;BB_Periods, "", AVERAGE(INDIRECT(ADDRESS(ROW($F58)-RSI_Periods +1, MATCH("Adj Close", Price_Header,0))): INDIRECT(ADDRESS(ROW($F58),MATCH("Adj Close", Price_Header,0)))))</f>
        <v>63.800000000000011</v>
      </c>
      <c r="K58" s="10">
        <f ca="1">IF(tbl_RCL[[#This Row],[BB_Mean]]="", "", tbl_RCL[[#This Row],[BB_Mean]]+(BB_Width*tbl_RCL[[#This Row],[BB_Stdev]]))</f>
        <v>72.459973352241832</v>
      </c>
      <c r="L58" s="10">
        <f ca="1">IF(tbl_RCL[[#This Row],[BB_Mean]]="", "", tbl_RCL[[#This Row],[BB_Mean]]-(BB_Width*tbl_RCL[[#This Row],[BB_Stdev]]))</f>
        <v>55.140026647758184</v>
      </c>
      <c r="M58" s="46">
        <f>IF(ROW(tbl_RCL[[#This Row],[Adj Close]])=5, 0, $F58-$F57)</f>
        <v>1.0900000000000034</v>
      </c>
      <c r="N58" s="46">
        <f>MAX(tbl_RCL[[#This Row],[Move]],0)</f>
        <v>1.0900000000000034</v>
      </c>
      <c r="O58" s="46">
        <f>MAX(-tbl_RCL[[#This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0.89928571428571502</v>
      </c>
      <c r="Q58" s="46">
        <f ca="1">IF(ROW($O58)-5&lt;RSI_Periods, "", AVERAGE(INDIRECT(ADDRESS(ROW($O58)-RSI_Periods +1, MATCH("Downmove", Price_Header,0))): INDIRECT(ADDRESS(ROW($O58),MATCH("Downmove", Price_Header,0)))))</f>
        <v>0.95428571428571474</v>
      </c>
      <c r="R58" s="46">
        <f ca="1">IF(tbl_RCL[[#This Row],[Avg_Upmove]]="", "", tbl_RCL[[#This Row],[Avg_Upmove]]/tbl_RCL[[#This Row],[Avg_Downmove]])</f>
        <v>0.94236526946107813</v>
      </c>
      <c r="S58" s="10">
        <f ca="1">IF(ROW($N58)-4&lt;BB_Periods, "", _xlfn.STDEV.S(INDIRECT(ADDRESS(ROW($F58)-RSI_Periods +1, MATCH("Adj Close", Price_Header,0))): INDIRECT(ADDRESS(ROW($F58),MATCH("Adj Close", Price_Header,0)))))</f>
        <v>4.3299866761209129</v>
      </c>
    </row>
    <row r="59" spans="1:19" x14ac:dyDescent="0.35">
      <c r="A59" s="8">
        <v>44130</v>
      </c>
      <c r="B59" s="10">
        <v>62.22</v>
      </c>
      <c r="C59" s="10">
        <v>62.27</v>
      </c>
      <c r="D59" s="10">
        <v>55.81</v>
      </c>
      <c r="E59" s="10">
        <v>58.26</v>
      </c>
      <c r="F59" s="10">
        <v>58.26</v>
      </c>
      <c r="G59">
        <v>12161300</v>
      </c>
      <c r="H59" s="10">
        <f>IF(tbl_RCL[[#This Row],[Date]]=$A$5, $F59, EMA_Beta*$H58 + (1-EMA_Beta)*$F59)</f>
        <v>62.942386491840104</v>
      </c>
      <c r="I59" s="46">
        <f ca="1">IF(tbl_RCL[[#This Row],[RS]]= "", "", 100-(100/(1+tbl_RCL[[#This Row],[RS]])))</f>
        <v>37.323943661971825</v>
      </c>
      <c r="J59" s="10">
        <f ca="1">IF(ROW($N59)-4&lt;BB_Periods, "", AVERAGE(INDIRECT(ADDRESS(ROW($F59)-RSI_Periods +1, MATCH("Adj Close", Price_Header,0))): INDIRECT(ADDRESS(ROW($F59),MATCH("Adj Close", Price_Header,0)))))</f>
        <v>63.234285714285718</v>
      </c>
      <c r="K59" s="10">
        <f ca="1">IF(tbl_RCL[[#This Row],[BB_Mean]]="", "", tbl_RCL[[#This Row],[BB_Mean]]+(BB_Width*tbl_RCL[[#This Row],[BB_Stdev]]))</f>
        <v>72.251891449003395</v>
      </c>
      <c r="L59" s="10">
        <f ca="1">IF(tbl_RCL[[#This Row],[BB_Mean]]="", "", tbl_RCL[[#This Row],[BB_Mean]]-(BB_Width*tbl_RCL[[#This Row],[BB_Stdev]]))</f>
        <v>54.216679979568035</v>
      </c>
      <c r="M59" s="46">
        <f>IF(ROW(tbl_RCL[[#This Row],[Adj Close]])=5, 0, $F59-$F58)</f>
        <v>-6.220000000000006</v>
      </c>
      <c r="N59" s="46">
        <f>MAX(tbl_RCL[[#This Row],[Move]],0)</f>
        <v>0</v>
      </c>
      <c r="O59" s="46">
        <f>MAX(-tbl_RCL[[#This Row],[Move]],0)</f>
        <v>6.220000000000006</v>
      </c>
      <c r="P59" s="46">
        <f ca="1">IF(ROW($N59)-5&lt;RSI_Periods, "", AVERAGE(INDIRECT(ADDRESS(ROW($N59)-RSI_Periods +1, MATCH("Upmove", Price_Header,0))): INDIRECT(ADDRESS(ROW($N59),MATCH("Upmove", Price_Header,0)))))</f>
        <v>0.83285714285714307</v>
      </c>
      <c r="Q59" s="46">
        <f ca="1">IF(ROW($O59)-5&lt;RSI_Periods, "", AVERAGE(INDIRECT(ADDRESS(ROW($O59)-RSI_Periods +1, MATCH("Downmove", Price_Header,0))): INDIRECT(ADDRESS(ROW($O59),MATCH("Downmove", Price_Header,0)))))</f>
        <v>1.3985714285714295</v>
      </c>
      <c r="R59" s="46">
        <f ca="1">IF(tbl_RCL[[#This Row],[Avg_Upmove]]="", "", tbl_RCL[[#This Row],[Avg_Upmove]]/tbl_RCL[[#This Row],[Avg_Downmove]])</f>
        <v>0.59550561797752788</v>
      </c>
      <c r="S59" s="10">
        <f ca="1">IF(ROW($N59)-4&lt;BB_Periods, "", _xlfn.STDEV.S(INDIRECT(ADDRESS(ROW($F59)-RSI_Periods +1, MATCH("Adj Close", Price_Header,0))): INDIRECT(ADDRESS(ROW($F59),MATCH("Adj Close", Price_Header,0)))))</f>
        <v>4.5088028673588409</v>
      </c>
    </row>
    <row r="60" spans="1:19" x14ac:dyDescent="0.35">
      <c r="A60" s="8">
        <v>44131</v>
      </c>
      <c r="B60" s="10">
        <v>58.09</v>
      </c>
      <c r="C60" s="10">
        <v>59.41</v>
      </c>
      <c r="D60" s="10">
        <v>57.28</v>
      </c>
      <c r="E60" s="10">
        <v>57.38</v>
      </c>
      <c r="F60" s="10">
        <v>57.38</v>
      </c>
      <c r="G60">
        <v>5285500</v>
      </c>
      <c r="H60" s="10">
        <f>IF(tbl_RCL[[#This Row],[Date]]=$A$5, $F60, EMA_Beta*$H59 + (1-EMA_Beta)*$F60)</f>
        <v>62.386147842656094</v>
      </c>
      <c r="I60" s="46">
        <f ca="1">IF(tbl_RCL[[#This Row],[RS]]= "", "", 100-(100/(1+tbl_RCL[[#This Row],[RS]])))</f>
        <v>32.430647291941895</v>
      </c>
      <c r="J60" s="10">
        <f ca="1">IF(ROW($N60)-4&lt;BB_Periods, "", AVERAGE(INDIRECT(ADDRESS(ROW($F60)-RSI_Periods +1, MATCH("Adj Close", Price_Header,0))): INDIRECT(ADDRESS(ROW($F60),MATCH("Adj Close", Price_Header,0)))))</f>
        <v>62.474285714285706</v>
      </c>
      <c r="K60" s="10">
        <f ca="1">IF(tbl_RCL[[#This Row],[BB_Mean]]="", "", tbl_RCL[[#This Row],[BB_Mean]]+(BB_Width*tbl_RCL[[#This Row],[BB_Stdev]]))</f>
        <v>71.547732059056173</v>
      </c>
      <c r="L60" s="10">
        <f ca="1">IF(tbl_RCL[[#This Row],[BB_Mean]]="", "", tbl_RCL[[#This Row],[BB_Mean]]-(BB_Width*tbl_RCL[[#This Row],[BB_Stdev]]))</f>
        <v>53.400839369515239</v>
      </c>
      <c r="M60" s="46">
        <f>IF(ROW(tbl_RCL[[#This Row],[Adj Close]])=5, 0, $F60-$F59)</f>
        <v>-0.87999999999999545</v>
      </c>
      <c r="N60" s="46">
        <f>MAX(tbl_RCL[[#This Row],[Move]],0)</f>
        <v>0</v>
      </c>
      <c r="O60" s="46">
        <f>MAX(-tbl_RCL[[#This Row],[Move]],0)</f>
        <v>0.87999999999999545</v>
      </c>
      <c r="P60" s="46">
        <f ca="1">IF(ROW($N60)-5&lt;RSI_Periods, "", AVERAGE(INDIRECT(ADDRESS(ROW($N60)-RSI_Periods +1, MATCH("Upmove", Price_Header,0))): INDIRECT(ADDRESS(ROW($N60),MATCH("Upmove", Price_Header,0)))))</f>
        <v>0.70142857142857251</v>
      </c>
      <c r="Q60" s="46">
        <f ca="1">IF(ROW($O60)-5&lt;RSI_Periods, "", AVERAGE(INDIRECT(ADDRESS(ROW($O60)-RSI_Periods +1, MATCH("Downmove", Price_Header,0))): INDIRECT(ADDRESS(ROW($O60),MATCH("Downmove", Price_Header,0)))))</f>
        <v>1.461428571428572</v>
      </c>
      <c r="R60" s="46">
        <f ca="1">IF(tbl_RCL[[#This Row],[Avg_Upmove]]="", "", tbl_RCL[[#This Row],[Avg_Upmove]]/tbl_RCL[[#This Row],[Avg_Downmove]])</f>
        <v>0.4799608993157386</v>
      </c>
      <c r="S60" s="10">
        <f ca="1">IF(ROW($N60)-4&lt;BB_Periods, "", _xlfn.STDEV.S(INDIRECT(ADDRESS(ROW($F60)-RSI_Periods +1, MATCH("Adj Close", Price_Header,0))): INDIRECT(ADDRESS(ROW($F60),MATCH("Adj Close", Price_Header,0)))))</f>
        <v>4.5367231723852353</v>
      </c>
    </row>
    <row r="61" spans="1:19" x14ac:dyDescent="0.35">
      <c r="A61" s="8">
        <v>44132</v>
      </c>
      <c r="B61" s="10">
        <v>55.13</v>
      </c>
      <c r="C61" s="10">
        <v>55.61</v>
      </c>
      <c r="D61" s="10">
        <v>53.06</v>
      </c>
      <c r="E61" s="10">
        <v>53.12</v>
      </c>
      <c r="F61" s="10">
        <v>53.12</v>
      </c>
      <c r="G61">
        <v>9382600</v>
      </c>
      <c r="H61" s="10">
        <f>IF(tbl_RCL[[#This Row],[Date]]=$A$5, $F61, EMA_Beta*$H60 + (1-EMA_Beta)*$F61)</f>
        <v>61.459533058390484</v>
      </c>
      <c r="I61" s="46">
        <f ca="1">IF(tbl_RCL[[#This Row],[RS]]= "", "", 100-(100/(1+tbl_RCL[[#This Row],[RS]])))</f>
        <v>25.698827772768254</v>
      </c>
      <c r="J61" s="10">
        <f ca="1">IF(ROW($N61)-4&lt;BB_Periods, "", AVERAGE(INDIRECT(ADDRESS(ROW($F61)-RSI_Periods +1, MATCH("Adj Close", Price_Header,0))): INDIRECT(ADDRESS(ROW($F61),MATCH("Adj Close", Price_Header,0)))))</f>
        <v>61.319285714285719</v>
      </c>
      <c r="K61" s="10">
        <f ca="1">IF(tbl_RCL[[#This Row],[BB_Mean]]="", "", tbl_RCL[[#This Row],[BB_Mean]]+(BB_Width*tbl_RCL[[#This Row],[BB_Stdev]]))</f>
        <v>70.764455303627599</v>
      </c>
      <c r="L61" s="10">
        <f ca="1">IF(tbl_RCL[[#This Row],[BB_Mean]]="", "", tbl_RCL[[#This Row],[BB_Mean]]-(BB_Width*tbl_RCL[[#This Row],[BB_Stdev]]))</f>
        <v>51.874116124943839</v>
      </c>
      <c r="M61" s="46">
        <f>IF(ROW(tbl_RCL[[#This Row],[Adj Close]])=5, 0, $F61-$F60)</f>
        <v>-4.2600000000000051</v>
      </c>
      <c r="N61" s="46">
        <f>MAX(tbl_RCL[[#This Row],[Move]],0)</f>
        <v>0</v>
      </c>
      <c r="O61" s="46">
        <f>MAX(-tbl_RCL[[#This Row],[Move]],0)</f>
        <v>4.2600000000000051</v>
      </c>
      <c r="P61" s="46">
        <f ca="1">IF(ROW($N61)-5&lt;RSI_Periods, "", AVERAGE(INDIRECT(ADDRESS(ROW($N61)-RSI_Periods +1, MATCH("Upmove", Price_Header,0))): INDIRECT(ADDRESS(ROW($N61),MATCH("Upmove", Price_Header,0)))))</f>
        <v>0.61071428571428599</v>
      </c>
      <c r="Q61" s="46">
        <f ca="1">IF(ROW($O61)-5&lt;RSI_Periods, "", AVERAGE(INDIRECT(ADDRESS(ROW($O61)-RSI_Periods +1, MATCH("Downmove", Price_Header,0))): INDIRECT(ADDRESS(ROW($O61),MATCH("Downmove", Price_Header,0)))))</f>
        <v>1.7657142857142867</v>
      </c>
      <c r="R61" s="46">
        <f ca="1">IF(tbl_RCL[[#This Row],[Avg_Upmove]]="", "", tbl_RCL[[#This Row],[Avg_Upmove]]/tbl_RCL[[#This Row],[Avg_Downmove]])</f>
        <v>0.34587378640776695</v>
      </c>
      <c r="S61" s="10">
        <f ca="1">IF(ROW($N61)-4&lt;BB_Periods, "", _xlfn.STDEV.S(INDIRECT(ADDRESS(ROW($F61)-RSI_Periods +1, MATCH("Adj Close", Price_Header,0))): INDIRECT(ADDRESS(ROW($F61),MATCH("Adj Close", Price_Header,0)))))</f>
        <v>4.7225847946709383</v>
      </c>
    </row>
    <row r="62" spans="1:19" x14ac:dyDescent="0.35">
      <c r="A62" s="8">
        <v>44133</v>
      </c>
      <c r="B62" s="10">
        <v>53.02</v>
      </c>
      <c r="C62" s="10">
        <v>54.37</v>
      </c>
      <c r="D62" s="10">
        <v>51.33</v>
      </c>
      <c r="E62" s="10">
        <v>53.83</v>
      </c>
      <c r="F62" s="10">
        <v>53.83</v>
      </c>
      <c r="G62">
        <v>8947300</v>
      </c>
      <c r="H62" s="10">
        <f>IF(tbl_RCL[[#This Row],[Date]]=$A$5, $F62, EMA_Beta*$H61 + (1-EMA_Beta)*$F62)</f>
        <v>60.696579752551429</v>
      </c>
      <c r="I62" s="46">
        <f ca="1">IF(tbl_RCL[[#This Row],[RS]]= "", "", 100-(100/(1+tbl_RCL[[#This Row],[RS]])))</f>
        <v>23.182100683654454</v>
      </c>
      <c r="J62" s="10">
        <f ca="1">IF(ROW($N62)-4&lt;BB_Periods, "", AVERAGE(INDIRECT(ADDRESS(ROW($F62)-RSI_Periods +1, MATCH("Adj Close", Price_Header,0))): INDIRECT(ADDRESS(ROW($F62),MATCH("Adj Close", Price_Header,0)))))</f>
        <v>60.086428571428577</v>
      </c>
      <c r="K62" s="10">
        <f ca="1">IF(tbl_RCL[[#This Row],[BB_Mean]]="", "", tbl_RCL[[#This Row],[BB_Mean]]+(BB_Width*tbl_RCL[[#This Row],[BB_Stdev]]))</f>
        <v>68.48569449958373</v>
      </c>
      <c r="L62" s="10">
        <f ca="1">IF(tbl_RCL[[#This Row],[BB_Mean]]="", "", tbl_RCL[[#This Row],[BB_Mean]]-(BB_Width*tbl_RCL[[#This Row],[BB_Stdev]]))</f>
        <v>51.687162643273417</v>
      </c>
      <c r="M62" s="46">
        <f>IF(ROW(tbl_RCL[[#This Row],[Adj Close]])=5, 0, $F62-$F61)</f>
        <v>0.71000000000000085</v>
      </c>
      <c r="N62" s="46">
        <f>MAX(tbl_RCL[[#This Row],[Move]],0)</f>
        <v>0.71000000000000085</v>
      </c>
      <c r="O62" s="46">
        <f>MAX(-tbl_RCL[[#This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0.53285714285714347</v>
      </c>
      <c r="Q62" s="46">
        <f ca="1">IF(ROW($O62)-5&lt;RSI_Periods, "", AVERAGE(INDIRECT(ADDRESS(ROW($O62)-RSI_Periods +1, MATCH("Downmove", Price_Header,0))): INDIRECT(ADDRESS(ROW($O62),MATCH("Downmove", Price_Header,0)))))</f>
        <v>1.7657142857142867</v>
      </c>
      <c r="R62" s="46">
        <f ca="1">IF(tbl_RCL[[#This Row],[Avg_Upmove]]="", "", tbl_RCL[[#This Row],[Avg_Upmove]]/tbl_RCL[[#This Row],[Avg_Downmove]])</f>
        <v>0.30177993527508107</v>
      </c>
      <c r="S62" s="10">
        <f ca="1">IF(ROW($N62)-4&lt;BB_Periods, "", _xlfn.STDEV.S(INDIRECT(ADDRESS(ROW($F62)-RSI_Periods +1, MATCH("Adj Close", Price_Header,0))): INDIRECT(ADDRESS(ROW($F62),MATCH("Adj Close", Price_Header,0)))))</f>
        <v>4.1996329640775798</v>
      </c>
    </row>
    <row r="63" spans="1:19" x14ac:dyDescent="0.35">
      <c r="A63" s="8">
        <v>44134</v>
      </c>
      <c r="B63" s="10">
        <v>52.97</v>
      </c>
      <c r="C63" s="10">
        <v>57.8</v>
      </c>
      <c r="D63" s="10">
        <v>51.37</v>
      </c>
      <c r="E63" s="10">
        <v>56.42</v>
      </c>
      <c r="F63" s="10">
        <v>56.42</v>
      </c>
      <c r="G63">
        <v>17043800</v>
      </c>
      <c r="H63" s="10">
        <f>IF(tbl_RCL[[#This Row],[Date]]=$A$5, $F63, EMA_Beta*$H62 + (1-EMA_Beta)*$F63)</f>
        <v>60.268921777296285</v>
      </c>
      <c r="I63" s="46">
        <f ca="1">IF(tbl_RCL[[#This Row],[RS]]= "", "", 100-(100/(1+tbl_RCL[[#This Row],[RS]])))</f>
        <v>29.991047448522849</v>
      </c>
      <c r="J63" s="10">
        <f ca="1">IF(ROW($N63)-4&lt;BB_Periods, "", AVERAGE(INDIRECT(ADDRESS(ROW($F63)-RSI_Periods +1, MATCH("Adj Close", Price_Header,0))): INDIRECT(ADDRESS(ROW($F63),MATCH("Adj Close", Price_Header,0)))))</f>
        <v>59.128571428571426</v>
      </c>
      <c r="K63" s="10">
        <f ca="1">IF(tbl_RCL[[#This Row],[BB_Mean]]="", "", tbl_RCL[[#This Row],[BB_Mean]]+(BB_Width*tbl_RCL[[#This Row],[BB_Stdev]]))</f>
        <v>65.57218654930729</v>
      </c>
      <c r="L63" s="10">
        <f ca="1">IF(tbl_RCL[[#This Row],[BB_Mean]]="", "", tbl_RCL[[#This Row],[BB_Mean]]-(BB_Width*tbl_RCL[[#This Row],[BB_Stdev]]))</f>
        <v>52.684956307835563</v>
      </c>
      <c r="M63" s="46">
        <f>IF(ROW(tbl_RCL[[#This Row],[Adj Close]])=5, 0, $F63-$F62)</f>
        <v>2.5900000000000034</v>
      </c>
      <c r="N63" s="46">
        <f>MAX(tbl_RCL[[#This Row],[Move]],0)</f>
        <v>2.5900000000000034</v>
      </c>
      <c r="O63" s="46">
        <f>MAX(-tbl_RCL[[#This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0.71785714285714364</v>
      </c>
      <c r="Q63" s="46">
        <f ca="1">IF(ROW($O63)-5&lt;RSI_Periods, "", AVERAGE(INDIRECT(ADDRESS(ROW($O63)-RSI_Periods +1, MATCH("Downmove", Price_Header,0))): INDIRECT(ADDRESS(ROW($O63),MATCH("Downmove", Price_Header,0)))))</f>
        <v>1.6757142857142864</v>
      </c>
      <c r="R63" s="46">
        <f ca="1">IF(tbl_RCL[[#This Row],[Avg_Upmove]]="", "", tbl_RCL[[#This Row],[Avg_Upmove]]/tbl_RCL[[#This Row],[Avg_Downmove]])</f>
        <v>0.42838874680306938</v>
      </c>
      <c r="S63" s="10">
        <f ca="1">IF(ROW($N63)-4&lt;BB_Periods, "", _xlfn.STDEV.S(INDIRECT(ADDRESS(ROW($F63)-RSI_Periods +1, MATCH("Adj Close", Price_Header,0))): INDIRECT(ADDRESS(ROW($F63),MATCH("Adj Close", Price_Header,0)))))</f>
        <v>3.2218075603679313</v>
      </c>
    </row>
    <row r="64" spans="1:19" x14ac:dyDescent="0.35">
      <c r="A64" s="8">
        <v>44137</v>
      </c>
      <c r="B64" s="10">
        <v>55</v>
      </c>
      <c r="C64" s="10">
        <v>57.1</v>
      </c>
      <c r="D64" s="10">
        <v>53.85</v>
      </c>
      <c r="E64" s="10">
        <v>57.02</v>
      </c>
      <c r="F64" s="10">
        <v>57.02</v>
      </c>
      <c r="G64">
        <v>7320100</v>
      </c>
      <c r="H64" s="10">
        <f>IF(tbl_RCL[[#This Row],[Date]]=$A$5, $F64, EMA_Beta*$H63 + (1-EMA_Beta)*$F64)</f>
        <v>59.944029599566655</v>
      </c>
      <c r="I64" s="46">
        <f ca="1">IF(tbl_RCL[[#This Row],[RS]]= "", "", 100-(100/(1+tbl_RCL[[#This Row],[RS]])))</f>
        <v>42.78826838087587</v>
      </c>
      <c r="J64" s="10">
        <f ca="1">IF(ROW($N64)-4&lt;BB_Periods, "", AVERAGE(INDIRECT(ADDRESS(ROW($F64)-RSI_Periods +1, MATCH("Adj Close", Price_Header,0))): INDIRECT(ADDRESS(ROW($F64),MATCH("Adj Close", Price_Header,0)))))</f>
        <v>58.872142857142862</v>
      </c>
      <c r="K64" s="10">
        <f ca="1">IF(tbl_RCL[[#This Row],[BB_Mean]]="", "", tbl_RCL[[#This Row],[BB_Mean]]+(BB_Width*tbl_RCL[[#This Row],[BB_Stdev]]))</f>
        <v>65.347455399983744</v>
      </c>
      <c r="L64" s="10">
        <f ca="1">IF(tbl_RCL[[#This Row],[BB_Mean]]="", "", tbl_RCL[[#This Row],[BB_Mean]]-(BB_Width*tbl_RCL[[#This Row],[BB_Stdev]]))</f>
        <v>52.396830314301972</v>
      </c>
      <c r="M64" s="46">
        <f>IF(ROW(tbl_RCL[[#This Row],[Adj Close]])=5, 0, $F64-$F63)</f>
        <v>0.60000000000000142</v>
      </c>
      <c r="N64" s="46">
        <f>MAX(tbl_RCL[[#This Row],[Move]],0)</f>
        <v>0.60000000000000142</v>
      </c>
      <c r="O64" s="46">
        <f>MAX(-tbl_RCL[[#This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0.76071428571428668</v>
      </c>
      <c r="Q64" s="46">
        <f ca="1">IF(ROW($O64)-5&lt;RSI_Periods, "", AVERAGE(INDIRECT(ADDRESS(ROW($O64)-RSI_Periods +1, MATCH("Downmove", Price_Header,0))): INDIRECT(ADDRESS(ROW($O64),MATCH("Downmove", Price_Header,0)))))</f>
        <v>1.0171428571428578</v>
      </c>
      <c r="R64" s="46">
        <f ca="1">IF(tbl_RCL[[#This Row],[Avg_Upmove]]="", "", tbl_RCL[[#This Row],[Avg_Upmove]]/tbl_RCL[[#This Row],[Avg_Downmove]])</f>
        <v>0.74789325842696674</v>
      </c>
      <c r="S64" s="10">
        <f ca="1">IF(ROW($N64)-4&lt;BB_Periods, "", _xlfn.STDEV.S(INDIRECT(ADDRESS(ROW($F64)-RSI_Periods +1, MATCH("Adj Close", Price_Header,0))): INDIRECT(ADDRESS(ROW($F64),MATCH("Adj Close", Price_Header,0)))))</f>
        <v>3.2376562714204447</v>
      </c>
    </row>
    <row r="65" spans="1:19" x14ac:dyDescent="0.35">
      <c r="A65" s="8">
        <v>44138</v>
      </c>
      <c r="B65" s="10">
        <v>56.9</v>
      </c>
      <c r="C65" s="10">
        <v>58.65</v>
      </c>
      <c r="D65" s="10">
        <v>56.34</v>
      </c>
      <c r="E65" s="10">
        <v>57.57</v>
      </c>
      <c r="F65" s="10">
        <v>57.57</v>
      </c>
      <c r="G65">
        <v>4837500</v>
      </c>
      <c r="H65" s="10">
        <f>IF(tbl_RCL[[#This Row],[Date]]=$A$5, $F65, EMA_Beta*$H64 + (1-EMA_Beta)*$F65)</f>
        <v>59.706626639609986</v>
      </c>
      <c r="I65" s="46">
        <f ca="1">IF(tbl_RCL[[#This Row],[RS]]= "", "", 100-(100/(1+tbl_RCL[[#This Row],[RS]])))</f>
        <v>45.270816491511731</v>
      </c>
      <c r="J65" s="10">
        <f ca="1">IF(ROW($N65)-4&lt;BB_Periods, "", AVERAGE(INDIRECT(ADDRESS(ROW($F65)-RSI_Periods +1, MATCH("Adj Close", Price_Header,0))): INDIRECT(ADDRESS(ROW($F65),MATCH("Adj Close", Price_Header,0)))))</f>
        <v>58.704999999999998</v>
      </c>
      <c r="K65" s="10">
        <f ca="1">IF(tbl_RCL[[#This Row],[BB_Mean]]="", "", tbl_RCL[[#This Row],[BB_Mean]]+(BB_Width*tbl_RCL[[#This Row],[BB_Stdev]]))</f>
        <v>65.185711024618783</v>
      </c>
      <c r="L65" s="10">
        <f ca="1">IF(tbl_RCL[[#This Row],[BB_Mean]]="", "", tbl_RCL[[#This Row],[BB_Mean]]-(BB_Width*tbl_RCL[[#This Row],[BB_Stdev]]))</f>
        <v>52.224288975381221</v>
      </c>
      <c r="M65" s="46">
        <f>IF(ROW(tbl_RCL[[#This Row],[Adj Close]])=5, 0, $F65-$F64)</f>
        <v>0.54999999999999716</v>
      </c>
      <c r="N65" s="46">
        <f>MAX(tbl_RCL[[#This Row],[Move]],0)</f>
        <v>0.54999999999999716</v>
      </c>
      <c r="O65" s="46">
        <f>MAX(-tbl_RCL[[#This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0.80000000000000071</v>
      </c>
      <c r="Q65" s="46">
        <f ca="1">IF(ROW($O65)-5&lt;RSI_Periods, "", AVERAGE(INDIRECT(ADDRESS(ROW($O65)-RSI_Periods +1, MATCH("Downmove", Price_Header,0))): INDIRECT(ADDRESS(ROW($O65),MATCH("Downmove", Price_Header,0)))))</f>
        <v>0.96714285714285764</v>
      </c>
      <c r="R65" s="46">
        <f ca="1">IF(tbl_RCL[[#This Row],[Avg_Upmove]]="", "", tbl_RCL[[#This Row],[Avg_Upmove]]/tbl_RCL[[#This Row],[Avg_Downmove]])</f>
        <v>0.82717872968980832</v>
      </c>
      <c r="S65" s="10">
        <f ca="1">IF(ROW($N65)-4&lt;BB_Periods, "", _xlfn.STDEV.S(INDIRECT(ADDRESS(ROW($F65)-RSI_Periods +1, MATCH("Adj Close", Price_Header,0))): INDIRECT(ADDRESS(ROW($F65),MATCH("Adj Close", Price_Header,0)))))</f>
        <v>3.2403555123093901</v>
      </c>
    </row>
    <row r="66" spans="1:19" x14ac:dyDescent="0.35">
      <c r="A66" s="8">
        <v>44139</v>
      </c>
      <c r="B66" s="10">
        <v>57.21</v>
      </c>
      <c r="C66" s="10">
        <v>58.61</v>
      </c>
      <c r="D66" s="10">
        <v>56.4</v>
      </c>
      <c r="E66" s="10">
        <v>56.98</v>
      </c>
      <c r="F66" s="10">
        <v>56.98</v>
      </c>
      <c r="G66">
        <v>3503500</v>
      </c>
      <c r="H66" s="10">
        <f>IF(tbl_RCL[[#This Row],[Date]]=$A$5, $F66, EMA_Beta*$H65 + (1-EMA_Beta)*$F66)</f>
        <v>59.433963975648986</v>
      </c>
      <c r="I66" s="46">
        <f ca="1">IF(tbl_RCL[[#This Row],[RS]]= "", "", 100-(100/(1+tbl_RCL[[#This Row],[RS]])))</f>
        <v>45.161290322580641</v>
      </c>
      <c r="J66" s="10">
        <f ca="1">IF(ROW($N66)-4&lt;BB_Periods, "", AVERAGE(INDIRECT(ADDRESS(ROW($F66)-RSI_Periods +1, MATCH("Adj Close", Price_Header,0))): INDIRECT(ADDRESS(ROW($F66),MATCH("Adj Close", Price_Header,0)))))</f>
        <v>58.533571428571427</v>
      </c>
      <c r="K66" s="10">
        <f ca="1">IF(tbl_RCL[[#This Row],[BB_Mean]]="", "", tbl_RCL[[#This Row],[BB_Mean]]+(BB_Width*tbl_RCL[[#This Row],[BB_Stdev]]))</f>
        <v>65.064146180720471</v>
      </c>
      <c r="L66" s="10">
        <f ca="1">IF(tbl_RCL[[#This Row],[BB_Mean]]="", "", tbl_RCL[[#This Row],[BB_Mean]]-(BB_Width*tbl_RCL[[#This Row],[BB_Stdev]]))</f>
        <v>52.002996676422377</v>
      </c>
      <c r="M66" s="46">
        <f>IF(ROW(tbl_RCL[[#This Row],[Adj Close]])=5, 0, $F66-$F65)</f>
        <v>-0.59000000000000341</v>
      </c>
      <c r="N66" s="46">
        <f>MAX(tbl_RCL[[#This Row],[Move]],0)</f>
        <v>0</v>
      </c>
      <c r="O66" s="46">
        <f>MAX(-tbl_RCL[[#This Row],[Move]],0)</f>
        <v>0.59000000000000341</v>
      </c>
      <c r="P66" s="46">
        <f ca="1">IF(ROW($N66)-5&lt;RSI_Periods, "", AVERAGE(INDIRECT(ADDRESS(ROW($N66)-RSI_Periods +1, MATCH("Upmove", Price_Header,0))): INDIRECT(ADDRESS(ROW($N66),MATCH("Upmove", Price_Header,0)))))</f>
        <v>0.80000000000000071</v>
      </c>
      <c r="Q66" s="46">
        <f ca="1">IF(ROW($O66)-5&lt;RSI_Periods, "", AVERAGE(INDIRECT(ADDRESS(ROW($O66)-RSI_Periods +1, MATCH("Downmove", Price_Header,0))): INDIRECT(ADDRESS(ROW($O66),MATCH("Downmove", Price_Header,0)))))</f>
        <v>0.97142857142857253</v>
      </c>
      <c r="R66" s="46">
        <f ca="1">IF(tbl_RCL[[#This Row],[Avg_Upmove]]="", "", tbl_RCL[[#This Row],[Avg_Upmove]]/tbl_RCL[[#This Row],[Avg_Downmove]])</f>
        <v>0.82352941176470573</v>
      </c>
      <c r="S66" s="10">
        <f ca="1">IF(ROW($N66)-4&lt;BB_Periods, "", _xlfn.STDEV.S(INDIRECT(ADDRESS(ROW($F66)-RSI_Periods +1, MATCH("Adj Close", Price_Header,0))): INDIRECT(ADDRESS(ROW($F66),MATCH("Adj Close", Price_Header,0)))))</f>
        <v>3.2652873760745247</v>
      </c>
    </row>
    <row r="67" spans="1:19" x14ac:dyDescent="0.35">
      <c r="A67" s="8">
        <v>44140</v>
      </c>
      <c r="B67" s="10">
        <v>57.77</v>
      </c>
      <c r="C67" s="10">
        <v>60.32</v>
      </c>
      <c r="D67" s="10">
        <v>57.63</v>
      </c>
      <c r="E67" s="10">
        <v>60.17</v>
      </c>
      <c r="F67" s="10">
        <v>60.17</v>
      </c>
      <c r="G67">
        <v>4516500</v>
      </c>
      <c r="H67" s="10">
        <f>IF(tbl_RCL[[#This Row],[Date]]=$A$5, $F67, EMA_Beta*$H66 + (1-EMA_Beta)*$F67)</f>
        <v>59.507567578084085</v>
      </c>
      <c r="I67" s="46">
        <f ca="1">IF(tbl_RCL[[#This Row],[RS]]= "", "", 100-(100/(1+tbl_RCL[[#This Row],[RS]])))</f>
        <v>52.441690962099131</v>
      </c>
      <c r="J67" s="10">
        <f ca="1">IF(ROW($N67)-4&lt;BB_Periods, "", AVERAGE(INDIRECT(ADDRESS(ROW($F67)-RSI_Periods +1, MATCH("Adj Close", Price_Header,0))): INDIRECT(ADDRESS(ROW($F67),MATCH("Adj Close", Price_Header,0)))))</f>
        <v>58.629285714285707</v>
      </c>
      <c r="K67" s="10">
        <f ca="1">IF(tbl_RCL[[#This Row],[BB_Mean]]="", "", tbl_RCL[[#This Row],[BB_Mean]]+(BB_Width*tbl_RCL[[#This Row],[BB_Stdev]]))</f>
        <v>65.217599210566433</v>
      </c>
      <c r="L67" s="10">
        <f ca="1">IF(tbl_RCL[[#This Row],[BB_Mean]]="", "", tbl_RCL[[#This Row],[BB_Mean]]-(BB_Width*tbl_RCL[[#This Row],[BB_Stdev]]))</f>
        <v>52.040972218004981</v>
      </c>
      <c r="M67" s="46">
        <f>IF(ROW(tbl_RCL[[#This Row],[Adj Close]])=5, 0, $F67-$F66)</f>
        <v>3.1900000000000048</v>
      </c>
      <c r="N67" s="46">
        <f>MAX(tbl_RCL[[#This Row],[Move]],0)</f>
        <v>3.1900000000000048</v>
      </c>
      <c r="O67" s="46">
        <f>MAX(-tbl_RCL[[#This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1.0278571428571439</v>
      </c>
      <c r="Q67" s="46">
        <f ca="1">IF(ROW($O67)-5&lt;RSI_Periods, "", AVERAGE(INDIRECT(ADDRESS(ROW($O67)-RSI_Periods +1, MATCH("Downmove", Price_Header,0))): INDIRECT(ADDRESS(ROW($O67),MATCH("Downmove", Price_Header,0)))))</f>
        <v>0.93214285714285794</v>
      </c>
      <c r="R67" s="46">
        <f ca="1">IF(tbl_RCL[[#This Row],[Avg_Upmove]]="", "", tbl_RCL[[#This Row],[Avg_Upmove]]/tbl_RCL[[#This Row],[Avg_Downmove]])</f>
        <v>1.1026819923371649</v>
      </c>
      <c r="S67" s="10">
        <f ca="1">IF(ROW($N67)-4&lt;BB_Periods, "", _xlfn.STDEV.S(INDIRECT(ADDRESS(ROW($F67)-RSI_Periods +1, MATCH("Adj Close", Price_Header,0))): INDIRECT(ADDRESS(ROW($F67),MATCH("Adj Close", Price_Header,0)))))</f>
        <v>3.2941567481403626</v>
      </c>
    </row>
    <row r="68" spans="1:19" x14ac:dyDescent="0.35">
      <c r="A68" s="8">
        <v>44141</v>
      </c>
      <c r="B68" s="10">
        <v>59.81</v>
      </c>
      <c r="C68" s="10">
        <v>59.98</v>
      </c>
      <c r="D68" s="10">
        <v>58.2</v>
      </c>
      <c r="E68" s="10">
        <v>58.57</v>
      </c>
      <c r="F68" s="10">
        <v>58.57</v>
      </c>
      <c r="G68">
        <v>4250900</v>
      </c>
      <c r="H68" s="10">
        <f>IF(tbl_RCL[[#This Row],[Date]]=$A$5, $F68, EMA_Beta*$H67 + (1-EMA_Beta)*$F68)</f>
        <v>59.413810820275678</v>
      </c>
      <c r="I68" s="46">
        <f ca="1">IF(tbl_RCL[[#This Row],[RS]]= "", "", 100-(100/(1+tbl_RCL[[#This Row],[RS]])))</f>
        <v>47.975852272727273</v>
      </c>
      <c r="J68" s="10">
        <f ca="1">IF(ROW($N68)-4&lt;BB_Periods, "", AVERAGE(INDIRECT(ADDRESS(ROW($F68)-RSI_Periods +1, MATCH("Adj Close", Price_Header,0))): INDIRECT(ADDRESS(ROW($F68),MATCH("Adj Close", Price_Header,0)))))</f>
        <v>58.547857142857147</v>
      </c>
      <c r="K68" s="10">
        <f ca="1">IF(tbl_RCL[[#This Row],[BB_Mean]]="", "", tbl_RCL[[#This Row],[BB_Mean]]+(BB_Width*tbl_RCL[[#This Row],[BB_Stdev]]))</f>
        <v>65.106746254103527</v>
      </c>
      <c r="L68" s="10">
        <f ca="1">IF(tbl_RCL[[#This Row],[BB_Mean]]="", "", tbl_RCL[[#This Row],[BB_Mean]]-(BB_Width*tbl_RCL[[#This Row],[BB_Stdev]]))</f>
        <v>51.98896803161076</v>
      </c>
      <c r="M68" s="46">
        <f>IF(ROW(tbl_RCL[[#This Row],[Adj Close]])=5, 0, $F68-$F67)</f>
        <v>-1.6000000000000014</v>
      </c>
      <c r="N68" s="46">
        <f>MAX(tbl_RCL[[#This Row],[Move]],0)</f>
        <v>0</v>
      </c>
      <c r="O68" s="46">
        <f>MAX(-tbl_RCL[[#This Row],[Move]],0)</f>
        <v>1.6000000000000014</v>
      </c>
      <c r="P68" s="46">
        <f ca="1">IF(ROW($N68)-5&lt;RSI_Periods, "", AVERAGE(INDIRECT(ADDRESS(ROW($N68)-RSI_Periods +1, MATCH("Upmove", Price_Header,0))): INDIRECT(ADDRESS(ROW($N68),MATCH("Upmove", Price_Header,0)))))</f>
        <v>0.96500000000000086</v>
      </c>
      <c r="Q68" s="46">
        <f ca="1">IF(ROW($O68)-5&lt;RSI_Periods, "", AVERAGE(INDIRECT(ADDRESS(ROW($O68)-RSI_Periods +1, MATCH("Downmove", Price_Header,0))): INDIRECT(ADDRESS(ROW($O68),MATCH("Downmove", Price_Header,0)))))</f>
        <v>1.0464285714285724</v>
      </c>
      <c r="R68" s="46">
        <f ca="1">IF(tbl_RCL[[#This Row],[Avg_Upmove]]="", "", tbl_RCL[[#This Row],[Avg_Upmove]]/tbl_RCL[[#This Row],[Avg_Downmove]])</f>
        <v>0.92218430034129695</v>
      </c>
      <c r="S68" s="10">
        <f ca="1">IF(ROW($N68)-4&lt;BB_Periods, "", _xlfn.STDEV.S(INDIRECT(ADDRESS(ROW($F68)-RSI_Periods +1, MATCH("Adj Close", Price_Header,0))): INDIRECT(ADDRESS(ROW($F68),MATCH("Adj Close", Price_Header,0)))))</f>
        <v>3.279444555623193</v>
      </c>
    </row>
    <row r="69" spans="1:19" x14ac:dyDescent="0.35">
      <c r="A69" s="8">
        <v>44144</v>
      </c>
      <c r="B69" s="10">
        <v>73.27</v>
      </c>
      <c r="C69" s="10">
        <v>78.86</v>
      </c>
      <c r="D69" s="10">
        <v>71.239999999999995</v>
      </c>
      <c r="E69" s="10">
        <v>75.430000000000007</v>
      </c>
      <c r="F69" s="10">
        <v>75.430000000000007</v>
      </c>
      <c r="G69">
        <v>27736800</v>
      </c>
      <c r="H69" s="10">
        <f>IF(tbl_RCL[[#This Row],[Date]]=$A$5, $F69, EMA_Beta*$H68 + (1-EMA_Beta)*$F69)</f>
        <v>61.015429738248109</v>
      </c>
      <c r="I69" s="46">
        <f ca="1">IF(tbl_RCL[[#This Row],[RS]]= "", "", 100-(100/(1+tbl_RCL[[#This Row],[RS]])))</f>
        <v>65.882626921285507</v>
      </c>
      <c r="J69" s="10">
        <f ca="1">IF(ROW($N69)-4&lt;BB_Periods, "", AVERAGE(INDIRECT(ADDRESS(ROW($F69)-RSI_Periods +1, MATCH("Adj Close", Price_Header,0))): INDIRECT(ADDRESS(ROW($F69),MATCH("Adj Close", Price_Header,0)))))</f>
        <v>59.522142857142867</v>
      </c>
      <c r="K69" s="10">
        <f ca="1">IF(tbl_RCL[[#This Row],[BB_Mean]]="", "", tbl_RCL[[#This Row],[BB_Mean]]+(BB_Width*tbl_RCL[[#This Row],[BB_Stdev]]))</f>
        <v>70.630252655695614</v>
      </c>
      <c r="L69" s="10">
        <f ca="1">IF(tbl_RCL[[#This Row],[BB_Mean]]="", "", tbl_RCL[[#This Row],[BB_Mean]]-(BB_Width*tbl_RCL[[#This Row],[BB_Stdev]]))</f>
        <v>48.414033058590128</v>
      </c>
      <c r="M69" s="46">
        <f>IF(ROW(tbl_RCL[[#This Row],[Adj Close]])=5, 0, $F69-$F68)</f>
        <v>16.860000000000007</v>
      </c>
      <c r="N69" s="46">
        <f>MAX(tbl_RCL[[#This Row],[Move]],0)</f>
        <v>16.860000000000007</v>
      </c>
      <c r="O69" s="46">
        <f>MAX(-tbl_RCL[[#This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2.0207142857142872</v>
      </c>
      <c r="Q69" s="46">
        <f ca="1">IF(ROW($O69)-5&lt;RSI_Periods, "", AVERAGE(INDIRECT(ADDRESS(ROW($O69)-RSI_Periods +1, MATCH("Downmove", Price_Header,0))): INDIRECT(ADDRESS(ROW($O69),MATCH("Downmove", Price_Header,0)))))</f>
        <v>1.0464285714285724</v>
      </c>
      <c r="R69" s="46">
        <f ca="1">IF(tbl_RCL[[#This Row],[Avg_Upmove]]="", "", tbl_RCL[[#This Row],[Avg_Upmove]]/tbl_RCL[[#This Row],[Avg_Downmove]])</f>
        <v>1.9310580204778154</v>
      </c>
      <c r="S69" s="10">
        <f ca="1">IF(ROW($N69)-4&lt;BB_Periods, "", _xlfn.STDEV.S(INDIRECT(ADDRESS(ROW($F69)-RSI_Periods +1, MATCH("Adj Close", Price_Header,0))): INDIRECT(ADDRESS(ROW($F69),MATCH("Adj Close", Price_Header,0)))))</f>
        <v>5.5540548992763696</v>
      </c>
    </row>
    <row r="70" spans="1:19" x14ac:dyDescent="0.35">
      <c r="A70" s="8">
        <v>44145</v>
      </c>
      <c r="B70" s="10">
        <v>74.03</v>
      </c>
      <c r="C70" s="10">
        <v>74.63</v>
      </c>
      <c r="D70" s="10">
        <v>71.36</v>
      </c>
      <c r="E70" s="10">
        <v>73.73</v>
      </c>
      <c r="F70" s="10">
        <v>73.73</v>
      </c>
      <c r="G70">
        <v>11446100</v>
      </c>
      <c r="H70" s="10">
        <f>IF(tbl_RCL[[#This Row],[Date]]=$A$5, $F70, EMA_Beta*$H69 + (1-EMA_Beta)*$F70)</f>
        <v>62.286886764423294</v>
      </c>
      <c r="I70" s="46">
        <f ca="1">IF(tbl_RCL[[#This Row],[RS]]= "", "", 100-(100/(1+tbl_RCL[[#This Row],[RS]])))</f>
        <v>64.974735875057405</v>
      </c>
      <c r="J70" s="10">
        <f ca="1">IF(ROW($N70)-4&lt;BB_Periods, "", AVERAGE(INDIRECT(ADDRESS(ROW($F70)-RSI_Periods +1, MATCH("Adj Close", Price_Header,0))): INDIRECT(ADDRESS(ROW($F70),MATCH("Adj Close", Price_Header,0)))))</f>
        <v>60.453571428571436</v>
      </c>
      <c r="K70" s="10">
        <f ca="1">IF(tbl_RCL[[#This Row],[BB_Mean]]="", "", tbl_RCL[[#This Row],[BB_Mean]]+(BB_Width*tbl_RCL[[#This Row],[BB_Stdev]]))</f>
        <v>73.920012011666074</v>
      </c>
      <c r="L70" s="10">
        <f ca="1">IF(tbl_RCL[[#This Row],[BB_Mean]]="", "", tbl_RCL[[#This Row],[BB_Mean]]-(BB_Width*tbl_RCL[[#This Row],[BB_Stdev]]))</f>
        <v>46.987130845476791</v>
      </c>
      <c r="M70" s="46">
        <f>IF(ROW(tbl_RCL[[#This Row],[Adj Close]])=5, 0, $F70-$F69)</f>
        <v>-1.7000000000000028</v>
      </c>
      <c r="N70" s="46">
        <f>MAX(tbl_RCL[[#This Row],[Move]],0)</f>
        <v>0</v>
      </c>
      <c r="O70" s="46">
        <f>MAX(-tbl_RCL[[#This Row],[Move]],0)</f>
        <v>1.7000000000000028</v>
      </c>
      <c r="P70" s="46">
        <f ca="1">IF(ROW($N70)-5&lt;RSI_Periods, "", AVERAGE(INDIRECT(ADDRESS(ROW($N70)-RSI_Periods +1, MATCH("Upmove", Price_Header,0))): INDIRECT(ADDRESS(ROW($N70),MATCH("Upmove", Price_Header,0)))))</f>
        <v>2.0207142857142872</v>
      </c>
      <c r="Q70" s="46">
        <f ca="1">IF(ROW($O70)-5&lt;RSI_Periods, "", AVERAGE(INDIRECT(ADDRESS(ROW($O70)-RSI_Periods +1, MATCH("Downmove", Price_Header,0))): INDIRECT(ADDRESS(ROW($O70),MATCH("Downmove", Price_Header,0)))))</f>
        <v>1.0892857142857153</v>
      </c>
      <c r="R70" s="46">
        <f ca="1">IF(tbl_RCL[[#This Row],[Avg_Upmove]]="", "", tbl_RCL[[#This Row],[Avg_Upmove]]/tbl_RCL[[#This Row],[Avg_Downmove]])</f>
        <v>1.8550819672131145</v>
      </c>
      <c r="S70" s="10">
        <f ca="1">IF(ROW($N70)-4&lt;BB_Periods, "", _xlfn.STDEV.S(INDIRECT(ADDRESS(ROW($F70)-RSI_Periods +1, MATCH("Adj Close", Price_Header,0))): INDIRECT(ADDRESS(ROW($F70),MATCH("Adj Close", Price_Header,0)))))</f>
        <v>6.7332202915473225</v>
      </c>
    </row>
    <row r="71" spans="1:19" x14ac:dyDescent="0.35">
      <c r="A71" s="8">
        <v>44146</v>
      </c>
      <c r="B71" s="10">
        <v>73.81</v>
      </c>
      <c r="C71" s="10">
        <v>73.92</v>
      </c>
      <c r="D71" s="10">
        <v>69.7</v>
      </c>
      <c r="E71" s="10">
        <v>70.88</v>
      </c>
      <c r="F71" s="10">
        <v>70.88</v>
      </c>
      <c r="G71">
        <v>10404000</v>
      </c>
      <c r="H71" s="10">
        <f>IF(tbl_RCL[[#This Row],[Date]]=$A$5, $F71, EMA_Beta*$H70 + (1-EMA_Beta)*$F71)</f>
        <v>63.146198087980963</v>
      </c>
      <c r="I71" s="46">
        <f ca="1">IF(tbl_RCL[[#This Row],[RS]]= "", "", 100-(100/(1+tbl_RCL[[#This Row],[RS]])))</f>
        <v>58.571755550469199</v>
      </c>
      <c r="J71" s="10">
        <f ca="1">IF(ROW($N71)-4&lt;BB_Periods, "", AVERAGE(INDIRECT(ADDRESS(ROW($F71)-RSI_Periods +1, MATCH("Adj Close", Price_Header,0))): INDIRECT(ADDRESS(ROW($F71),MATCH("Adj Close", Price_Header,0)))))</f>
        <v>60.988571428571433</v>
      </c>
      <c r="K71" s="10">
        <f ca="1">IF(tbl_RCL[[#This Row],[BB_Mean]]="", "", tbl_RCL[[#This Row],[BB_Mean]]+(BB_Width*tbl_RCL[[#This Row],[BB_Stdev]]))</f>
        <v>75.511253649879549</v>
      </c>
      <c r="L71" s="10">
        <f ca="1">IF(tbl_RCL[[#This Row],[BB_Mean]]="", "", tbl_RCL[[#This Row],[BB_Mean]]-(BB_Width*tbl_RCL[[#This Row],[BB_Stdev]]))</f>
        <v>46.465889207263324</v>
      </c>
      <c r="M71" s="46">
        <f>IF(ROW(tbl_RCL[[#This Row],[Adj Close]])=5, 0, $F71-$F70)</f>
        <v>-2.8500000000000085</v>
      </c>
      <c r="N71" s="46">
        <f>MAX(tbl_RCL[[#This Row],[Move]],0)</f>
        <v>0</v>
      </c>
      <c r="O71" s="46">
        <f>MAX(-tbl_RCL[[#This Row],[Move]],0)</f>
        <v>2.8500000000000085</v>
      </c>
      <c r="P71" s="46">
        <f ca="1">IF(ROW($N71)-5&lt;RSI_Periods, "", AVERAGE(INDIRECT(ADDRESS(ROW($N71)-RSI_Periods +1, MATCH("Upmove", Price_Header,0))): INDIRECT(ADDRESS(ROW($N71),MATCH("Upmove", Price_Header,0)))))</f>
        <v>1.8278571428571442</v>
      </c>
      <c r="Q71" s="46">
        <f ca="1">IF(ROW($O71)-5&lt;RSI_Periods, "", AVERAGE(INDIRECT(ADDRESS(ROW($O71)-RSI_Periods +1, MATCH("Downmove", Price_Header,0))): INDIRECT(ADDRESS(ROW($O71),MATCH("Downmove", Price_Header,0)))))</f>
        <v>1.2928571428571445</v>
      </c>
      <c r="R71" s="46">
        <f ca="1">IF(tbl_RCL[[#This Row],[Avg_Upmove]]="", "", tbl_RCL[[#This Row],[Avg_Upmove]]/tbl_RCL[[#This Row],[Avg_Downmove]])</f>
        <v>1.4138121546961318</v>
      </c>
      <c r="S71" s="10">
        <f ca="1">IF(ROW($N71)-4&lt;BB_Periods, "", _xlfn.STDEV.S(INDIRECT(ADDRESS(ROW($F71)-RSI_Periods +1, MATCH("Adj Close", Price_Header,0))): INDIRECT(ADDRESS(ROW($F71),MATCH("Adj Close", Price_Header,0)))))</f>
        <v>7.2613411106540555</v>
      </c>
    </row>
    <row r="72" spans="1:19" x14ac:dyDescent="0.35">
      <c r="A72" s="8">
        <v>44147</v>
      </c>
      <c r="B72" s="10">
        <v>68.069999999999993</v>
      </c>
      <c r="C72" s="10">
        <v>71.12</v>
      </c>
      <c r="D72" s="10">
        <v>67.67</v>
      </c>
      <c r="E72" s="10">
        <v>68.099999999999994</v>
      </c>
      <c r="F72" s="10">
        <v>68.099999999999994</v>
      </c>
      <c r="G72">
        <v>6968100</v>
      </c>
      <c r="H72" s="10">
        <f>IF(tbl_RCL[[#This Row],[Date]]=$A$5, $F72, EMA_Beta*$H71 + (1-EMA_Beta)*$F72)</f>
        <v>63.641578279182866</v>
      </c>
      <c r="I72" s="46">
        <f ca="1">IF(tbl_RCL[[#This Row],[RS]]= "", "", 100-(100/(1+tbl_RCL[[#This Row],[RS]])))</f>
        <v>53.988541207580418</v>
      </c>
      <c r="J72" s="10">
        <f ca="1">IF(ROW($N72)-4&lt;BB_Periods, "", AVERAGE(INDIRECT(ADDRESS(ROW($F72)-RSI_Periods +1, MATCH("Adj Close", Price_Header,0))): INDIRECT(ADDRESS(ROW($F72),MATCH("Adj Close", Price_Header,0)))))</f>
        <v>61.247142857142862</v>
      </c>
      <c r="K72" s="10">
        <f ca="1">IF(tbl_RCL[[#This Row],[BB_Mean]]="", "", tbl_RCL[[#This Row],[BB_Mean]]+(BB_Width*tbl_RCL[[#This Row],[BB_Stdev]]))</f>
        <v>76.161238262437777</v>
      </c>
      <c r="L72" s="10">
        <f ca="1">IF(tbl_RCL[[#This Row],[BB_Mean]]="", "", tbl_RCL[[#This Row],[BB_Mean]]-(BB_Width*tbl_RCL[[#This Row],[BB_Stdev]]))</f>
        <v>46.333047451847946</v>
      </c>
      <c r="M72" s="46">
        <f>IF(ROW(tbl_RCL[[#This Row],[Adj Close]])=5, 0, $F72-$F71)</f>
        <v>-2.7800000000000011</v>
      </c>
      <c r="N72" s="46">
        <f>MAX(tbl_RCL[[#This Row],[Move]],0)</f>
        <v>0</v>
      </c>
      <c r="O72" s="46">
        <f>MAX(-tbl_RCL[[#This Row],[Move]],0)</f>
        <v>2.7800000000000011</v>
      </c>
      <c r="P72" s="46">
        <f ca="1">IF(ROW($N72)-5&lt;RSI_Periods, "", AVERAGE(INDIRECT(ADDRESS(ROW($N72)-RSI_Periods +1, MATCH("Upmove", Price_Header,0))): INDIRECT(ADDRESS(ROW($N72),MATCH("Upmove", Price_Header,0)))))</f>
        <v>1.7500000000000011</v>
      </c>
      <c r="Q72" s="46">
        <f ca="1">IF(ROW($O72)-5&lt;RSI_Periods, "", AVERAGE(INDIRECT(ADDRESS(ROW($O72)-RSI_Periods +1, MATCH("Downmove", Price_Header,0))): INDIRECT(ADDRESS(ROW($O72),MATCH("Downmove", Price_Header,0)))))</f>
        <v>1.4914285714285731</v>
      </c>
      <c r="R72" s="46">
        <f ca="1">IF(tbl_RCL[[#This Row],[Avg_Upmove]]="", "", tbl_RCL[[#This Row],[Avg_Upmove]]/tbl_RCL[[#This Row],[Avg_Downmove]])</f>
        <v>1.1733716475095779</v>
      </c>
      <c r="S72" s="10">
        <f ca="1">IF(ROW($N72)-4&lt;BB_Periods, "", _xlfn.STDEV.S(INDIRECT(ADDRESS(ROW($F72)-RSI_Periods +1, MATCH("Adj Close", Price_Header,0))): INDIRECT(ADDRESS(ROW($F72),MATCH("Adj Close", Price_Header,0)))))</f>
        <v>7.4570477026474578</v>
      </c>
    </row>
    <row r="73" spans="1:19" x14ac:dyDescent="0.35">
      <c r="A73" s="8">
        <v>44148</v>
      </c>
      <c r="B73" s="10">
        <v>69.349999999999994</v>
      </c>
      <c r="C73" s="10">
        <v>70.14</v>
      </c>
      <c r="D73" s="10">
        <v>68.650000000000006</v>
      </c>
      <c r="E73" s="10">
        <v>69.599999999999994</v>
      </c>
      <c r="F73" s="10">
        <v>69.599999999999994</v>
      </c>
      <c r="G73">
        <v>1242738</v>
      </c>
      <c r="H73" s="10">
        <f>IF(tbl_RCL[[#This Row],[Date]]=$A$5, $F73, EMA_Beta*$H72 + (1-EMA_Beta)*$F73)</f>
        <v>64.237420451264583</v>
      </c>
      <c r="I73" s="46">
        <f ca="1">IF(tbl_RCL[[#This Row],[RS]]= "", "", 100-(100/(1+tbl_RCL[[#This Row],[RS]])))</f>
        <v>63.944909001475637</v>
      </c>
      <c r="J73" s="10">
        <f ca="1">IF(ROW($N73)-4&lt;BB_Periods, "", AVERAGE(INDIRECT(ADDRESS(ROW($F73)-RSI_Periods +1, MATCH("Adj Close", Price_Header,0))): INDIRECT(ADDRESS(ROW($F73),MATCH("Adj Close", Price_Header,0)))))</f>
        <v>62.057142857142864</v>
      </c>
      <c r="K73" s="10">
        <f ca="1">IF(tbl_RCL[[#This Row],[BB_Mean]]="", "", tbl_RCL[[#This Row],[BB_Mean]]+(BB_Width*tbl_RCL[[#This Row],[BB_Stdev]]))</f>
        <v>77.494959419719905</v>
      </c>
      <c r="L73" s="10">
        <f ca="1">IF(tbl_RCL[[#This Row],[BB_Mean]]="", "", tbl_RCL[[#This Row],[BB_Mean]]-(BB_Width*tbl_RCL[[#This Row],[BB_Stdev]]))</f>
        <v>46.619326294565823</v>
      </c>
      <c r="M73" s="46">
        <f>IF(ROW(tbl_RCL[[#This Row],[Adj Close]])=5, 0, $F73-$F72)</f>
        <v>1.5</v>
      </c>
      <c r="N73" s="46">
        <f>MAX(tbl_RCL[[#This Row],[Move]],0)</f>
        <v>1.5</v>
      </c>
      <c r="O73" s="46">
        <f>MAX(-tbl_RCL[[#This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1.8571428571428581</v>
      </c>
      <c r="Q73" s="46">
        <f ca="1">IF(ROW($O73)-5&lt;RSI_Periods, "", AVERAGE(INDIRECT(ADDRESS(ROW($O73)-RSI_Periods +1, MATCH("Downmove", Price_Header,0))): INDIRECT(ADDRESS(ROW($O73),MATCH("Downmove", Price_Header,0)))))</f>
        <v>1.0471428571428585</v>
      </c>
      <c r="R73" s="46">
        <f ca="1">IF(tbl_RCL[[#This Row],[Avg_Upmove]]="", "", tbl_RCL[[#This Row],[Avg_Upmove]]/tbl_RCL[[#This Row],[Avg_Downmove]])</f>
        <v>1.7735334242837639</v>
      </c>
      <c r="S73" s="10">
        <f ca="1">IF(ROW($N73)-4&lt;BB_Periods, "", _xlfn.STDEV.S(INDIRECT(ADDRESS(ROW($F73)-RSI_Periods +1, MATCH("Adj Close", Price_Header,0))): INDIRECT(ADDRESS(ROW($F73),MATCH("Adj Close", Price_Header,0)))))</f>
        <v>7.7189082812885186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SUBTOTAL(103,tbl_RCL[BB_Stdev])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84F6-3142-4404-B8A6-89078E951C1E}">
  <dimension ref="A1:S74"/>
  <sheetViews>
    <sheetView topLeftCell="A63" workbookViewId="0">
      <selection activeCell="D74" sqref="D74"/>
    </sheetView>
  </sheetViews>
  <sheetFormatPr defaultRowHeight="14.5" x14ac:dyDescent="0.35"/>
  <cols>
    <col min="1" max="1" width="10.453125" bestFit="1" customWidth="1"/>
    <col min="3" max="3" width="11.0898437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359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13.03</v>
      </c>
      <c r="C5" s="10">
        <v>13.06</v>
      </c>
      <c r="D5" s="10">
        <v>12.91</v>
      </c>
      <c r="E5" s="10">
        <v>12.94</v>
      </c>
      <c r="F5" s="10">
        <v>12.94</v>
      </c>
      <c r="G5">
        <v>8700</v>
      </c>
      <c r="H5" s="10">
        <f>IF(tbl_OIL[[#This Row],[Date]]=$A$5, $F5, EMA_Beta*$H4 + (1-EMA_Beta)*$F5)</f>
        <v>12.94</v>
      </c>
      <c r="I5" s="46" t="str">
        <f ca="1">IF(tbl_OIL[[#This Row],[RS]]= "", "", 100-(100/(1+tbl_OIL[[#This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IF(tbl_OIL[[#This Row],[BB_Mean]]="", "", tbl_OIL[[#This Row],[BB_Mean]]+(BB_Width*tbl_OIL[[#This Row],[BB_Stdev]]))</f>
        <v/>
      </c>
      <c r="L5" s="10" t="str">
        <f ca="1">IF(tbl_OIL[[#This Row],[BB_Mean]]="", "", tbl_OIL[[#This Row],[BB_Mean]]-(BB_Width*tbl_OIL[[#This Row],[BB_Stdev]]))</f>
        <v/>
      </c>
      <c r="M5" s="46">
        <f>IF(ROW(tbl_OIL[[#This Row],[Adj Close]])=5, 0, $F5-$F4)</f>
        <v>0</v>
      </c>
      <c r="N5" s="46">
        <f>MAX(tbl_OIL[[#This Row],[Move]],0)</f>
        <v>0</v>
      </c>
      <c r="O5" s="46">
        <f>MAX(-tbl_OIL[[#This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IF(tbl_OIL[[#This Row],[Avg_Upmove]]="", "", tbl_OIL[[#This Row],[Avg_Upmove]]/tbl_OIL[[#This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13.21</v>
      </c>
      <c r="C6" s="10">
        <v>13.21</v>
      </c>
      <c r="D6" s="10">
        <v>12.74</v>
      </c>
      <c r="E6" s="10">
        <v>12.84</v>
      </c>
      <c r="F6" s="10">
        <v>12.84</v>
      </c>
      <c r="G6">
        <v>8200</v>
      </c>
      <c r="H6" s="10">
        <f>IF(tbl_OIL[[#This Row],[Date]]=$A$5, $F6, EMA_Beta*$H5 + (1-EMA_Beta)*$F6)</f>
        <v>12.93</v>
      </c>
      <c r="I6" s="46" t="str">
        <f ca="1">IF(tbl_OIL[[#This Row],[RS]]= "", "", 100-(100/(1+tbl_OIL[[#This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IF(tbl_OIL[[#This Row],[BB_Mean]]="", "", tbl_OIL[[#This Row],[BB_Mean]]+(BB_Width*tbl_OIL[[#This Row],[BB_Stdev]]))</f>
        <v/>
      </c>
      <c r="L6" s="10" t="str">
        <f ca="1">IF(tbl_OIL[[#This Row],[BB_Mean]]="", "", tbl_OIL[[#This Row],[BB_Mean]]-(BB_Width*tbl_OIL[[#This Row],[BB_Stdev]]))</f>
        <v/>
      </c>
      <c r="M6" s="46">
        <f>IF(ROW(tbl_OIL[[#This Row],[Adj Close]])=5, 0, $F6-$F5)</f>
        <v>-9.9999999999999645E-2</v>
      </c>
      <c r="N6" s="46">
        <f>MAX(tbl_OIL[[#This Row],[Move]],0)</f>
        <v>0</v>
      </c>
      <c r="O6" s="46">
        <f>MAX(-tbl_OIL[[#This Row],[Move]],0)</f>
        <v>9.9999999999999645E-2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IF(tbl_OIL[[#This Row],[Avg_Upmove]]="", "", tbl_OIL[[#This Row],[Avg_Upmove]]/tbl_OIL[[#This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12.98</v>
      </c>
      <c r="C7" s="10">
        <v>13.13</v>
      </c>
      <c r="D7" s="10">
        <v>12.93</v>
      </c>
      <c r="E7" s="10">
        <v>13.11</v>
      </c>
      <c r="F7" s="10">
        <v>13.11</v>
      </c>
      <c r="G7">
        <v>15100</v>
      </c>
      <c r="H7" s="10">
        <f>IF(tbl_OIL[[#This Row],[Date]]=$A$5, $F7, EMA_Beta*$H6 + (1-EMA_Beta)*$F7)</f>
        <v>12.948</v>
      </c>
      <c r="I7" s="46" t="str">
        <f ca="1">IF(tbl_OIL[[#This Row],[RS]]= "", "", 100-(100/(1+tbl_OIL[[#This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IF(tbl_OIL[[#This Row],[BB_Mean]]="", "", tbl_OIL[[#This Row],[BB_Mean]]+(BB_Width*tbl_OIL[[#This Row],[BB_Stdev]]))</f>
        <v/>
      </c>
      <c r="L7" s="10" t="str">
        <f ca="1">IF(tbl_OIL[[#This Row],[BB_Mean]]="", "", tbl_OIL[[#This Row],[BB_Mean]]-(BB_Width*tbl_OIL[[#This Row],[BB_Stdev]]))</f>
        <v/>
      </c>
      <c r="M7" s="46">
        <f>IF(ROW(tbl_OIL[[#This Row],[Adj Close]])=5, 0, $F7-$F6)</f>
        <v>0.26999999999999957</v>
      </c>
      <c r="N7" s="46">
        <f>MAX(tbl_OIL[[#This Row],[Move]],0)</f>
        <v>0.26999999999999957</v>
      </c>
      <c r="O7" s="46">
        <f>MAX(-tbl_OIL[[#This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IF(tbl_OIL[[#This Row],[Avg_Upmove]]="", "", tbl_OIL[[#This Row],[Avg_Upmove]]/tbl_OIL[[#This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13.14</v>
      </c>
      <c r="C8" s="10">
        <v>13.15</v>
      </c>
      <c r="D8" s="10">
        <v>13.02</v>
      </c>
      <c r="E8" s="10">
        <v>13.09</v>
      </c>
      <c r="F8" s="10">
        <v>13.09</v>
      </c>
      <c r="G8">
        <v>5600</v>
      </c>
      <c r="H8" s="10">
        <f>IF(tbl_OIL[[#This Row],[Date]]=$A$5, $F8, EMA_Beta*$H7 + (1-EMA_Beta)*$F8)</f>
        <v>12.962199999999999</v>
      </c>
      <c r="I8" s="46" t="str">
        <f ca="1">IF(tbl_OIL[[#This Row],[RS]]= "", "", 100-(100/(1+tbl_OIL[[#This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IF(tbl_OIL[[#This Row],[BB_Mean]]="", "", tbl_OIL[[#This Row],[BB_Mean]]+(BB_Width*tbl_OIL[[#This Row],[BB_Stdev]]))</f>
        <v/>
      </c>
      <c r="L8" s="10" t="str">
        <f ca="1">IF(tbl_OIL[[#This Row],[BB_Mean]]="", "", tbl_OIL[[#This Row],[BB_Mean]]-(BB_Width*tbl_OIL[[#This Row],[BB_Stdev]]))</f>
        <v/>
      </c>
      <c r="M8" s="46">
        <f>IF(ROW(tbl_OIL[[#This Row],[Adj Close]])=5, 0, $F8-$F7)</f>
        <v>-1.9999999999999574E-2</v>
      </c>
      <c r="N8" s="46">
        <f>MAX(tbl_OIL[[#This Row],[Move]],0)</f>
        <v>0</v>
      </c>
      <c r="O8" s="46">
        <f>MAX(-tbl_OIL[[#This Row],[Move]],0)</f>
        <v>1.9999999999999574E-2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IF(tbl_OIL[[#This Row],[Avg_Upmove]]="", "", tbl_OIL[[#This Row],[Avg_Upmove]]/tbl_OIL[[#This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13.01</v>
      </c>
      <c r="C9" s="10">
        <v>13.03</v>
      </c>
      <c r="D9" s="10">
        <v>12.91</v>
      </c>
      <c r="E9" s="10">
        <v>12.94</v>
      </c>
      <c r="F9" s="10">
        <v>12.94</v>
      </c>
      <c r="G9">
        <v>2200</v>
      </c>
      <c r="H9" s="10">
        <f>IF(tbl_OIL[[#This Row],[Date]]=$A$5, $F9, EMA_Beta*$H8 + (1-EMA_Beta)*$F9)</f>
        <v>12.959979999999998</v>
      </c>
      <c r="I9" s="46" t="str">
        <f ca="1">IF(tbl_OIL[[#This Row],[RS]]= "", "", 100-(100/(1+tbl_OIL[[#This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IF(tbl_OIL[[#This Row],[BB_Mean]]="", "", tbl_OIL[[#This Row],[BB_Mean]]+(BB_Width*tbl_OIL[[#This Row],[BB_Stdev]]))</f>
        <v/>
      </c>
      <c r="L9" s="10" t="str">
        <f ca="1">IF(tbl_OIL[[#This Row],[BB_Mean]]="", "", tbl_OIL[[#This Row],[BB_Mean]]-(BB_Width*tbl_OIL[[#This Row],[BB_Stdev]]))</f>
        <v/>
      </c>
      <c r="M9" s="46">
        <f>IF(ROW(tbl_OIL[[#This Row],[Adj Close]])=5, 0, $F9-$F8)</f>
        <v>-0.15000000000000036</v>
      </c>
      <c r="N9" s="46">
        <f>MAX(tbl_OIL[[#This Row],[Move]],0)</f>
        <v>0</v>
      </c>
      <c r="O9" s="46">
        <f>MAX(-tbl_OIL[[#This Row],[Move]],0)</f>
        <v>0.15000000000000036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IF(tbl_OIL[[#This Row],[Avg_Upmove]]="", "", tbl_OIL[[#This Row],[Avg_Upmove]]/tbl_OIL[[#This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13.05</v>
      </c>
      <c r="C10" s="10">
        <v>13.34</v>
      </c>
      <c r="D10" s="10">
        <v>13.05</v>
      </c>
      <c r="E10" s="10">
        <v>13.25</v>
      </c>
      <c r="F10" s="10">
        <v>13.25</v>
      </c>
      <c r="G10">
        <v>13600</v>
      </c>
      <c r="H10" s="10">
        <f>IF(tbl_OIL[[#This Row],[Date]]=$A$5, $F10, EMA_Beta*$H9 + (1-EMA_Beta)*$F10)</f>
        <v>12.988981999999998</v>
      </c>
      <c r="I10" s="46" t="str">
        <f ca="1">IF(tbl_OIL[[#This Row],[RS]]= "", "", 100-(100/(1+tbl_OIL[[#This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IF(tbl_OIL[[#This Row],[BB_Mean]]="", "", tbl_OIL[[#This Row],[BB_Mean]]+(BB_Width*tbl_OIL[[#This Row],[BB_Stdev]]))</f>
        <v/>
      </c>
      <c r="L10" s="10" t="str">
        <f ca="1">IF(tbl_OIL[[#This Row],[BB_Mean]]="", "", tbl_OIL[[#This Row],[BB_Mean]]-(BB_Width*tbl_OIL[[#This Row],[BB_Stdev]]))</f>
        <v/>
      </c>
      <c r="M10" s="46">
        <f>IF(ROW(tbl_OIL[[#This Row],[Adj Close]])=5, 0, $F10-$F9)</f>
        <v>0.3100000000000005</v>
      </c>
      <c r="N10" s="46">
        <f>MAX(tbl_OIL[[#This Row],[Move]],0)</f>
        <v>0.3100000000000005</v>
      </c>
      <c r="O10" s="46">
        <f>MAX(-tbl_OIL[[#This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IF(tbl_OIL[[#This Row],[Avg_Upmove]]="", "", tbl_OIL[[#This Row],[Avg_Upmove]]/tbl_OIL[[#This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13.13</v>
      </c>
      <c r="C11" s="10">
        <v>13.22</v>
      </c>
      <c r="D11" s="10">
        <v>13.06</v>
      </c>
      <c r="E11" s="10">
        <v>13.18</v>
      </c>
      <c r="F11" s="10">
        <v>13.18</v>
      </c>
      <c r="G11">
        <v>15000</v>
      </c>
      <c r="H11" s="10">
        <f>IF(tbl_OIL[[#This Row],[Date]]=$A$5, $F11, EMA_Beta*$H10 + (1-EMA_Beta)*$F11)</f>
        <v>13.008083799999998</v>
      </c>
      <c r="I11" s="46" t="str">
        <f ca="1">IF(tbl_OIL[[#This Row],[RS]]= "", "", 100-(100/(1+tbl_OIL[[#This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IF(tbl_OIL[[#This Row],[BB_Mean]]="", "", tbl_OIL[[#This Row],[BB_Mean]]+(BB_Width*tbl_OIL[[#This Row],[BB_Stdev]]))</f>
        <v/>
      </c>
      <c r="L11" s="10" t="str">
        <f ca="1">IF(tbl_OIL[[#This Row],[BB_Mean]]="", "", tbl_OIL[[#This Row],[BB_Mean]]-(BB_Width*tbl_OIL[[#This Row],[BB_Stdev]]))</f>
        <v/>
      </c>
      <c r="M11" s="46">
        <f>IF(ROW(tbl_OIL[[#This Row],[Adj Close]])=5, 0, $F11-$F10)</f>
        <v>-7.0000000000000284E-2</v>
      </c>
      <c r="N11" s="46">
        <f>MAX(tbl_OIL[[#This Row],[Move]],0)</f>
        <v>0</v>
      </c>
      <c r="O11" s="46">
        <f>MAX(-tbl_OIL[[#This Row],[Move]],0)</f>
        <v>7.0000000000000284E-2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IF(tbl_OIL[[#This Row],[Avg_Upmove]]="", "", tbl_OIL[[#This Row],[Avg_Upmove]]/tbl_OIL[[#This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13.21</v>
      </c>
      <c r="C12" s="10">
        <v>13.21</v>
      </c>
      <c r="D12" s="10">
        <v>13.05</v>
      </c>
      <c r="E12" s="10">
        <v>13.21</v>
      </c>
      <c r="F12" s="10">
        <v>13.21</v>
      </c>
      <c r="G12">
        <v>3200</v>
      </c>
      <c r="H12" s="10">
        <f>IF(tbl_OIL[[#This Row],[Date]]=$A$5, $F12, EMA_Beta*$H11 + (1-EMA_Beta)*$F12)</f>
        <v>13.028275419999998</v>
      </c>
      <c r="I12" s="46" t="str">
        <f ca="1">IF(tbl_OIL[[#This Row],[RS]]= "", "", 100-(100/(1+tbl_OIL[[#This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IF(tbl_OIL[[#This Row],[BB_Mean]]="", "", tbl_OIL[[#This Row],[BB_Mean]]+(BB_Width*tbl_OIL[[#This Row],[BB_Stdev]]))</f>
        <v/>
      </c>
      <c r="L12" s="10" t="str">
        <f ca="1">IF(tbl_OIL[[#This Row],[BB_Mean]]="", "", tbl_OIL[[#This Row],[BB_Mean]]-(BB_Width*tbl_OIL[[#This Row],[BB_Stdev]]))</f>
        <v/>
      </c>
      <c r="M12" s="46">
        <f>IF(ROW(tbl_OIL[[#This Row],[Adj Close]])=5, 0, $F12-$F11)</f>
        <v>3.0000000000001137E-2</v>
      </c>
      <c r="N12" s="46">
        <f>MAX(tbl_OIL[[#This Row],[Move]],0)</f>
        <v>3.0000000000001137E-2</v>
      </c>
      <c r="O12" s="46">
        <f>MAX(-tbl_OIL[[#This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IF(tbl_OIL[[#This Row],[Avg_Upmove]]="", "", tbl_OIL[[#This Row],[Avg_Upmove]]/tbl_OIL[[#This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12.89</v>
      </c>
      <c r="C13" s="10">
        <v>13.09</v>
      </c>
      <c r="D13" s="10">
        <v>12.77</v>
      </c>
      <c r="E13" s="10">
        <v>13.09</v>
      </c>
      <c r="F13" s="10">
        <v>13.09</v>
      </c>
      <c r="G13">
        <v>3100</v>
      </c>
      <c r="H13" s="10">
        <f>IF(tbl_OIL[[#This Row],[Date]]=$A$5, $F13, EMA_Beta*$H12 + (1-EMA_Beta)*$F13)</f>
        <v>13.034447877999998</v>
      </c>
      <c r="I13" s="46" t="str">
        <f ca="1">IF(tbl_OIL[[#This Row],[RS]]= "", "", 100-(100/(1+tbl_OIL[[#This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IF(tbl_OIL[[#This Row],[BB_Mean]]="", "", tbl_OIL[[#This Row],[BB_Mean]]+(BB_Width*tbl_OIL[[#This Row],[BB_Stdev]]))</f>
        <v/>
      </c>
      <c r="L13" s="10" t="str">
        <f ca="1">IF(tbl_OIL[[#This Row],[BB_Mean]]="", "", tbl_OIL[[#This Row],[BB_Mean]]-(BB_Width*tbl_OIL[[#This Row],[BB_Stdev]]))</f>
        <v/>
      </c>
      <c r="M13" s="46">
        <f>IF(ROW(tbl_OIL[[#This Row],[Adj Close]])=5, 0, $F13-$F12)</f>
        <v>-0.12000000000000099</v>
      </c>
      <c r="N13" s="46">
        <f>MAX(tbl_OIL[[#This Row],[Move]],0)</f>
        <v>0</v>
      </c>
      <c r="O13" s="46">
        <f>MAX(-tbl_OIL[[#This Row],[Move]],0)</f>
        <v>0.12000000000000099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IF(tbl_OIL[[#This Row],[Avg_Upmove]]="", "", tbl_OIL[[#This Row],[Avg_Upmove]]/tbl_OIL[[#This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12.73</v>
      </c>
      <c r="C14" s="10">
        <v>12.94</v>
      </c>
      <c r="D14" s="10">
        <v>12.73</v>
      </c>
      <c r="E14" s="10">
        <v>12.91</v>
      </c>
      <c r="F14" s="10">
        <v>12.91</v>
      </c>
      <c r="G14">
        <v>700</v>
      </c>
      <c r="H14" s="10">
        <f>IF(tbl_OIL[[#This Row],[Date]]=$A$5, $F14, EMA_Beta*$H13 + (1-EMA_Beta)*$F14)</f>
        <v>13.022003090199998</v>
      </c>
      <c r="I14" s="46" t="str">
        <f ca="1">IF(tbl_OIL[[#This Row],[RS]]= "", "", 100-(100/(1+tbl_OIL[[#This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IF(tbl_OIL[[#This Row],[BB_Mean]]="", "", tbl_OIL[[#This Row],[BB_Mean]]+(BB_Width*tbl_OIL[[#This Row],[BB_Stdev]]))</f>
        <v/>
      </c>
      <c r="L14" s="10" t="str">
        <f ca="1">IF(tbl_OIL[[#This Row],[BB_Mean]]="", "", tbl_OIL[[#This Row],[BB_Mean]]-(BB_Width*tbl_OIL[[#This Row],[BB_Stdev]]))</f>
        <v/>
      </c>
      <c r="M14" s="46">
        <f>IF(ROW(tbl_OIL[[#This Row],[Adj Close]])=5, 0, $F14-$F13)</f>
        <v>-0.17999999999999972</v>
      </c>
      <c r="N14" s="46">
        <f>MAX(tbl_OIL[[#This Row],[Move]],0)</f>
        <v>0</v>
      </c>
      <c r="O14" s="46">
        <f>MAX(-tbl_OIL[[#This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IF(tbl_OIL[[#This Row],[Avg_Upmove]]="", "", tbl_OIL[[#This Row],[Avg_Upmove]]/tbl_OIL[[#This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12.97</v>
      </c>
      <c r="C15" s="10">
        <v>13.11</v>
      </c>
      <c r="D15" s="10">
        <v>12.97</v>
      </c>
      <c r="E15" s="10">
        <v>13.05</v>
      </c>
      <c r="F15" s="10">
        <v>13.05</v>
      </c>
      <c r="G15">
        <v>8000</v>
      </c>
      <c r="H15" s="10">
        <f>IF(tbl_OIL[[#This Row],[Date]]=$A$5, $F15, EMA_Beta*$H14 + (1-EMA_Beta)*$F15)</f>
        <v>13.024802781179998</v>
      </c>
      <c r="I15" s="46" t="str">
        <f ca="1">IF(tbl_OIL[[#This Row],[RS]]= "", "", 100-(100/(1+tbl_OIL[[#This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IF(tbl_OIL[[#This Row],[BB_Mean]]="", "", tbl_OIL[[#This Row],[BB_Mean]]+(BB_Width*tbl_OIL[[#This Row],[BB_Stdev]]))</f>
        <v/>
      </c>
      <c r="L15" s="10" t="str">
        <f ca="1">IF(tbl_OIL[[#This Row],[BB_Mean]]="", "", tbl_OIL[[#This Row],[BB_Mean]]-(BB_Width*tbl_OIL[[#This Row],[BB_Stdev]]))</f>
        <v/>
      </c>
      <c r="M15" s="46">
        <f>IF(ROW(tbl_OIL[[#This Row],[Adj Close]])=5, 0, $F15-$F14)</f>
        <v>0.14000000000000057</v>
      </c>
      <c r="N15" s="46">
        <f>MAX(tbl_OIL[[#This Row],[Move]],0)</f>
        <v>0.14000000000000057</v>
      </c>
      <c r="O15" s="46">
        <f>MAX(-tbl_OIL[[#This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IF(tbl_OIL[[#This Row],[Avg_Upmove]]="", "", tbl_OIL[[#This Row],[Avg_Upmove]]/tbl_OIL[[#This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13.3</v>
      </c>
      <c r="C16" s="10">
        <v>13.33</v>
      </c>
      <c r="D16" s="10">
        <v>13.13</v>
      </c>
      <c r="E16" s="10">
        <v>13.32</v>
      </c>
      <c r="F16" s="10">
        <v>13.32</v>
      </c>
      <c r="G16">
        <v>3400</v>
      </c>
      <c r="H16" s="10">
        <f>IF(tbl_OIL[[#This Row],[Date]]=$A$5, $F16, EMA_Beta*$H15 + (1-EMA_Beta)*$F16)</f>
        <v>13.054322503061998</v>
      </c>
      <c r="I16" s="46" t="str">
        <f ca="1">IF(tbl_OIL[[#This Row],[RS]]= "", "", 100-(100/(1+tbl_OIL[[#This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IF(tbl_OIL[[#This Row],[BB_Mean]]="", "", tbl_OIL[[#This Row],[BB_Mean]]+(BB_Width*tbl_OIL[[#This Row],[BB_Stdev]]))</f>
        <v/>
      </c>
      <c r="L16" s="10" t="str">
        <f ca="1">IF(tbl_OIL[[#This Row],[BB_Mean]]="", "", tbl_OIL[[#This Row],[BB_Mean]]-(BB_Width*tbl_OIL[[#This Row],[BB_Stdev]]))</f>
        <v/>
      </c>
      <c r="M16" s="46">
        <f>IF(ROW(tbl_OIL[[#This Row],[Adj Close]])=5, 0, $F16-$F15)</f>
        <v>0.26999999999999957</v>
      </c>
      <c r="N16" s="46">
        <f>MAX(tbl_OIL[[#This Row],[Move]],0)</f>
        <v>0.26999999999999957</v>
      </c>
      <c r="O16" s="46">
        <f>MAX(-tbl_OIL[[#This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IF(tbl_OIL[[#This Row],[Avg_Upmove]]="", "", tbl_OIL[[#This Row],[Avg_Upmove]]/tbl_OIL[[#This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13.4</v>
      </c>
      <c r="C17" s="10">
        <v>13.4</v>
      </c>
      <c r="D17" s="10">
        <v>13.27</v>
      </c>
      <c r="E17" s="10">
        <v>13.27</v>
      </c>
      <c r="F17" s="10">
        <v>13.27</v>
      </c>
      <c r="G17">
        <v>14000</v>
      </c>
      <c r="H17" s="10">
        <f>IF(tbl_OIL[[#This Row],[Date]]=$A$5, $F17, EMA_Beta*$H16 + (1-EMA_Beta)*$F17)</f>
        <v>13.075890252755798</v>
      </c>
      <c r="I17" s="46" t="str">
        <f ca="1">IF(tbl_OIL[[#This Row],[RS]]= "", "", 100-(100/(1+tbl_OIL[[#This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IF(tbl_OIL[[#This Row],[BB_Mean]]="", "", tbl_OIL[[#This Row],[BB_Mean]]+(BB_Width*tbl_OIL[[#This Row],[BB_Stdev]]))</f>
        <v/>
      </c>
      <c r="L17" s="10" t="str">
        <f ca="1">IF(tbl_OIL[[#This Row],[BB_Mean]]="", "", tbl_OIL[[#This Row],[BB_Mean]]-(BB_Width*tbl_OIL[[#This Row],[BB_Stdev]]))</f>
        <v/>
      </c>
      <c r="M17" s="46">
        <f>IF(ROW(tbl_OIL[[#This Row],[Adj Close]])=5, 0, $F17-$F16)</f>
        <v>-5.0000000000000711E-2</v>
      </c>
      <c r="N17" s="46">
        <f>MAX(tbl_OIL[[#This Row],[Move]],0)</f>
        <v>0</v>
      </c>
      <c r="O17" s="46">
        <f>MAX(-tbl_OIL[[#This Row],[Move]],0)</f>
        <v>5.0000000000000711E-2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IF(tbl_OIL[[#This Row],[Avg_Upmove]]="", "", tbl_OIL[[#This Row],[Avg_Upmove]]/tbl_OIL[[#This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13.34</v>
      </c>
      <c r="C18" s="10">
        <v>13.34</v>
      </c>
      <c r="D18" s="10">
        <v>12.95</v>
      </c>
      <c r="E18" s="10">
        <v>13.11</v>
      </c>
      <c r="F18" s="10">
        <v>13.11</v>
      </c>
      <c r="G18">
        <v>5700</v>
      </c>
      <c r="H18" s="10">
        <f>IF(tbl_OIL[[#This Row],[Date]]=$A$5, $F18, EMA_Beta*$H17 + (1-EMA_Beta)*$F18)</f>
        <v>13.079301227480219</v>
      </c>
      <c r="I18" s="46" t="str">
        <f ca="1">IF(tbl_OIL[[#This Row],[RS]]= "", "", 100-(100/(1+tbl_OIL[[#This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13.093571428571428</v>
      </c>
      <c r="K18" s="10">
        <f ca="1">IF(tbl_OIL[[#This Row],[BB_Mean]]="", "", tbl_OIL[[#This Row],[BB_Mean]]+(BB_Width*tbl_OIL[[#This Row],[BB_Stdev]]))</f>
        <v>13.384734311123143</v>
      </c>
      <c r="L18" s="10">
        <f ca="1">IF(tbl_OIL[[#This Row],[BB_Mean]]="", "", tbl_OIL[[#This Row],[BB_Mean]]-(BB_Width*tbl_OIL[[#This Row],[BB_Stdev]]))</f>
        <v>12.802408546019713</v>
      </c>
      <c r="M18" s="46">
        <f>IF(ROW(tbl_OIL[[#This Row],[Adj Close]])=5, 0, $F18-$F17)</f>
        <v>-0.16000000000000014</v>
      </c>
      <c r="N18" s="46">
        <f>MAX(tbl_OIL[[#This Row],[Move]],0)</f>
        <v>0</v>
      </c>
      <c r="O18" s="46">
        <f>MAX(-tbl_OIL[[#This Row],[Move]],0)</f>
        <v>0.16000000000000014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IF(tbl_OIL[[#This Row],[Avg_Upmove]]="", "", tbl_OIL[[#This Row],[Avg_Upmove]]/tbl_OIL[[#This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0.14558144127585795</v>
      </c>
    </row>
    <row r="19" spans="1:19" x14ac:dyDescent="0.35">
      <c r="A19" s="8">
        <v>44071</v>
      </c>
      <c r="B19" s="10">
        <v>13.12</v>
      </c>
      <c r="C19" s="10">
        <v>13.12</v>
      </c>
      <c r="D19" s="10">
        <v>13.05</v>
      </c>
      <c r="E19" s="10">
        <v>13.12</v>
      </c>
      <c r="F19" s="10">
        <v>13.12</v>
      </c>
      <c r="G19">
        <v>1900</v>
      </c>
      <c r="H19" s="10">
        <f>IF(tbl_OIL[[#This Row],[Date]]=$A$5, $F19, EMA_Beta*$H18 + (1-EMA_Beta)*$F19)</f>
        <v>13.083371104732196</v>
      </c>
      <c r="I19" s="46">
        <f ca="1">IF(tbl_OIL[[#This Row],[RS]]= "", "", 100-(100/(1+tbl_OIL[[#This Row],[RS]])))</f>
        <v>54.787234042553173</v>
      </c>
      <c r="J19" s="10">
        <f ca="1">IF(ROW($N19)-4&lt;BB_Periods, "", AVERAGE(INDIRECT(ADDRESS(ROW($F19)-RSI_Periods +1, MATCH("Adj Close", Price_Header,0))): INDIRECT(ADDRESS(ROW($F19),MATCH("Adj Close", Price_Header,0)))))</f>
        <v>13.106428571428571</v>
      </c>
      <c r="K19" s="10">
        <f ca="1">IF(tbl_OIL[[#This Row],[BB_Mean]]="", "", tbl_OIL[[#This Row],[BB_Mean]]+(BB_Width*tbl_OIL[[#This Row],[BB_Stdev]]))</f>
        <v>13.383956908760055</v>
      </c>
      <c r="L19" s="10">
        <f ca="1">IF(tbl_OIL[[#This Row],[BB_Mean]]="", "", tbl_OIL[[#This Row],[BB_Mean]]-(BB_Width*tbl_OIL[[#This Row],[BB_Stdev]]))</f>
        <v>12.828900234097087</v>
      </c>
      <c r="M19" s="46">
        <f>IF(ROW(tbl_OIL[[#This Row],[Adj Close]])=5, 0, $F19-$F18)</f>
        <v>9.9999999999997868E-3</v>
      </c>
      <c r="N19" s="46">
        <f>MAX(tbl_OIL[[#This Row],[Move]],0)</f>
        <v>9.9999999999997868E-3</v>
      </c>
      <c r="O19" s="46">
        <f>MAX(-tbl_OIL[[#This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7.3571428571428649E-2</v>
      </c>
      <c r="Q19" s="46">
        <f ca="1">IF(ROW($O19)-5&lt;RSI_Periods, "", AVERAGE(INDIRECT(ADDRESS(ROW($O19)-RSI_Periods +1, MATCH("Downmove", Price_Header,0))): INDIRECT(ADDRESS(ROW($O19),MATCH("Downmove", Price_Header,0)))))</f>
        <v>6.0714285714285818E-2</v>
      </c>
      <c r="R19" s="46">
        <f ca="1">IF(tbl_OIL[[#This Row],[Avg_Upmove]]="", "", tbl_OIL[[#This Row],[Avg_Upmove]]/tbl_OIL[[#This Row],[Avg_Downmove]])</f>
        <v>1.2117647058823522</v>
      </c>
      <c r="S19" s="10">
        <f ca="1">IF(ROW($N19)-4&lt;BB_Periods, "", _xlfn.STDEV.S(INDIRECT(ADDRESS(ROW($F19)-RSI_Periods +1, MATCH("Adj Close", Price_Header,0))): INDIRECT(ADDRESS(ROW($F19),MATCH("Adj Close", Price_Header,0)))))</f>
        <v>0.13876416866574209</v>
      </c>
    </row>
    <row r="20" spans="1:19" x14ac:dyDescent="0.35">
      <c r="A20" s="8">
        <v>44074</v>
      </c>
      <c r="B20" s="10">
        <v>13.15</v>
      </c>
      <c r="C20" s="10">
        <v>13.23</v>
      </c>
      <c r="D20" s="10">
        <v>13.07</v>
      </c>
      <c r="E20" s="10">
        <v>13.07</v>
      </c>
      <c r="F20" s="10">
        <v>13.07</v>
      </c>
      <c r="G20">
        <v>4800</v>
      </c>
      <c r="H20" s="10">
        <f>IF(tbl_OIL[[#This Row],[Date]]=$A$5, $F20, EMA_Beta*$H19 + (1-EMA_Beta)*$F20)</f>
        <v>13.082033994258977</v>
      </c>
      <c r="I20" s="46">
        <f ca="1">IF(tbl_OIL[[#This Row],[RS]]= "", "", 100-(100/(1+tbl_OIL[[#This Row],[RS]])))</f>
        <v>56.284153005464482</v>
      </c>
      <c r="J20" s="10">
        <f ca="1">IF(ROW($N20)-4&lt;BB_Periods, "", AVERAGE(INDIRECT(ADDRESS(ROW($F20)-RSI_Periods +1, MATCH("Adj Close", Price_Header,0))): INDIRECT(ADDRESS(ROW($F20),MATCH("Adj Close", Price_Header,0)))))</f>
        <v>13.122857142857145</v>
      </c>
      <c r="K20" s="10">
        <f ca="1">IF(tbl_OIL[[#This Row],[BB_Mean]]="", "", tbl_OIL[[#This Row],[BB_Mean]]+(BB_Width*tbl_OIL[[#This Row],[BB_Stdev]]))</f>
        <v>13.356151749795183</v>
      </c>
      <c r="L20" s="10">
        <f ca="1">IF(tbl_OIL[[#This Row],[BB_Mean]]="", "", tbl_OIL[[#This Row],[BB_Mean]]-(BB_Width*tbl_OIL[[#This Row],[BB_Stdev]]))</f>
        <v>12.889562535919106</v>
      </c>
      <c r="M20" s="46">
        <f>IF(ROW(tbl_OIL[[#This Row],[Adj Close]])=5, 0, $F20-$F19)</f>
        <v>-4.9999999999998934E-2</v>
      </c>
      <c r="N20" s="46">
        <f>MAX(tbl_OIL[[#This Row],[Move]],0)</f>
        <v>0</v>
      </c>
      <c r="O20" s="46">
        <f>MAX(-tbl_OIL[[#This Row],[Move]],0)</f>
        <v>4.9999999999998934E-2</v>
      </c>
      <c r="P20" s="46">
        <f ca="1">IF(ROW($N20)-5&lt;RSI_Periods, "", AVERAGE(INDIRECT(ADDRESS(ROW($N20)-RSI_Periods +1, MATCH("Upmove", Price_Header,0))): INDIRECT(ADDRESS(ROW($N20),MATCH("Upmove", Price_Header,0)))))</f>
        <v>7.3571428571428649E-2</v>
      </c>
      <c r="Q20" s="46">
        <f ca="1">IF(ROW($O20)-5&lt;RSI_Periods, "", AVERAGE(INDIRECT(ADDRESS(ROW($O20)-RSI_Periods +1, MATCH("Downmove", Price_Header,0))): INDIRECT(ADDRESS(ROW($O20),MATCH("Downmove", Price_Header,0)))))</f>
        <v>5.7142857142857197E-2</v>
      </c>
      <c r="R20" s="46">
        <f ca="1">IF(tbl_OIL[[#This Row],[Avg_Upmove]]="", "", tbl_OIL[[#This Row],[Avg_Upmove]]/tbl_OIL[[#This Row],[Avg_Downmove]])</f>
        <v>1.2875000000000001</v>
      </c>
      <c r="S20" s="10">
        <f ca="1">IF(ROW($N20)-4&lt;BB_Periods, "", _xlfn.STDEV.S(INDIRECT(ADDRESS(ROW($F20)-RSI_Periods +1, MATCH("Adj Close", Price_Header,0))): INDIRECT(ADDRESS(ROW($F20),MATCH("Adj Close", Price_Header,0)))))</f>
        <v>0.11664730346901903</v>
      </c>
    </row>
    <row r="21" spans="1:19" x14ac:dyDescent="0.35">
      <c r="A21" s="8">
        <v>44075</v>
      </c>
      <c r="B21" s="10">
        <v>13.11</v>
      </c>
      <c r="C21" s="10">
        <v>13.2</v>
      </c>
      <c r="D21" s="10">
        <v>13.04</v>
      </c>
      <c r="E21" s="10">
        <v>13.15</v>
      </c>
      <c r="F21" s="10">
        <v>13.15</v>
      </c>
      <c r="G21">
        <v>4200</v>
      </c>
      <c r="H21" s="10">
        <f>IF(tbl_OIL[[#This Row],[Date]]=$A$5, $F21, EMA_Beta*$H20 + (1-EMA_Beta)*$F21)</f>
        <v>13.088830594833079</v>
      </c>
      <c r="I21" s="46">
        <f ca="1">IF(tbl_OIL[[#This Row],[RS]]= "", "", 100-(100/(1+tbl_OIL[[#This Row],[RS]])))</f>
        <v>51.219512195121965</v>
      </c>
      <c r="J21" s="10">
        <f ca="1">IF(ROW($N21)-4&lt;BB_Periods, "", AVERAGE(INDIRECT(ADDRESS(ROW($F21)-RSI_Periods +1, MATCH("Adj Close", Price_Header,0))): INDIRECT(ADDRESS(ROW($F21),MATCH("Adj Close", Price_Header,0)))))</f>
        <v>13.125714285714286</v>
      </c>
      <c r="K21" s="10">
        <f ca="1">IF(tbl_OIL[[#This Row],[BB_Mean]]="", "", tbl_OIL[[#This Row],[BB_Mean]]+(BB_Width*tbl_OIL[[#This Row],[BB_Stdev]]))</f>
        <v>13.35931016103539</v>
      </c>
      <c r="L21" s="10">
        <f ca="1">IF(tbl_OIL[[#This Row],[BB_Mean]]="", "", tbl_OIL[[#This Row],[BB_Mean]]-(BB_Width*tbl_OIL[[#This Row],[BB_Stdev]]))</f>
        <v>12.892118410393183</v>
      </c>
      <c r="M21" s="46">
        <f>IF(ROW(tbl_OIL[[#This Row],[Adj Close]])=5, 0, $F21-$F20)</f>
        <v>8.0000000000000071E-2</v>
      </c>
      <c r="N21" s="46">
        <f>MAX(tbl_OIL[[#This Row],[Move]],0)</f>
        <v>8.0000000000000071E-2</v>
      </c>
      <c r="O21" s="46">
        <f>MAX(-tbl_OIL[[#This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6.0000000000000116E-2</v>
      </c>
      <c r="Q21" s="46">
        <f ca="1">IF(ROW($O21)-5&lt;RSI_Periods, "", AVERAGE(INDIRECT(ADDRESS(ROW($O21)-RSI_Periods +1, MATCH("Downmove", Price_Header,0))): INDIRECT(ADDRESS(ROW($O21),MATCH("Downmove", Price_Header,0)))))</f>
        <v>5.7142857142857197E-2</v>
      </c>
      <c r="R21" s="46">
        <f ca="1">IF(tbl_OIL[[#This Row],[Avg_Upmove]]="", "", tbl_OIL[[#This Row],[Avg_Upmove]]/tbl_OIL[[#This Row],[Avg_Downmove]])</f>
        <v>1.0500000000000009</v>
      </c>
      <c r="S21" s="10">
        <f ca="1">IF(ROW($N21)-4&lt;BB_Periods, "", _xlfn.STDEV.S(INDIRECT(ADDRESS(ROW($F21)-RSI_Periods +1, MATCH("Adj Close", Price_Header,0))): INDIRECT(ADDRESS(ROW($F21),MATCH("Adj Close", Price_Header,0)))))</f>
        <v>0.11679793766055228</v>
      </c>
    </row>
    <row r="22" spans="1:19" x14ac:dyDescent="0.35">
      <c r="A22" s="8">
        <v>44076</v>
      </c>
      <c r="B22" s="10">
        <v>13.19</v>
      </c>
      <c r="C22" s="10">
        <v>13.19</v>
      </c>
      <c r="D22" s="10">
        <v>12.63</v>
      </c>
      <c r="E22" s="10">
        <v>12.76</v>
      </c>
      <c r="F22" s="10">
        <v>12.76</v>
      </c>
      <c r="G22">
        <v>6600</v>
      </c>
      <c r="H22" s="10">
        <f>IF(tbl_OIL[[#This Row],[Date]]=$A$5, $F22, EMA_Beta*$H21 + (1-EMA_Beta)*$F22)</f>
        <v>13.055947535349771</v>
      </c>
      <c r="I22" s="46">
        <f ca="1">IF(tbl_OIL[[#This Row],[RS]]= "", "", 100-(100/(1+tbl_OIL[[#This Row],[RS]])))</f>
        <v>41.791044776119413</v>
      </c>
      <c r="J22" s="10">
        <f ca="1">IF(ROW($N22)-4&lt;BB_Periods, "", AVERAGE(INDIRECT(ADDRESS(ROW($F22)-RSI_Periods +1, MATCH("Adj Close", Price_Header,0))): INDIRECT(ADDRESS(ROW($F22),MATCH("Adj Close", Price_Header,0)))))</f>
        <v>13.102142857142855</v>
      </c>
      <c r="K22" s="10">
        <f ca="1">IF(tbl_OIL[[#This Row],[BB_Mean]]="", "", tbl_OIL[[#This Row],[BB_Mean]]+(BB_Width*tbl_OIL[[#This Row],[BB_Stdev]]))</f>
        <v>13.406993748455422</v>
      </c>
      <c r="L22" s="10">
        <f ca="1">IF(tbl_OIL[[#This Row],[BB_Mean]]="", "", tbl_OIL[[#This Row],[BB_Mean]]-(BB_Width*tbl_OIL[[#This Row],[BB_Stdev]]))</f>
        <v>12.797291965830288</v>
      </c>
      <c r="M22" s="46">
        <f>IF(ROW(tbl_OIL[[#This Row],[Adj Close]])=5, 0, $F22-$F21)</f>
        <v>-0.39000000000000057</v>
      </c>
      <c r="N22" s="46">
        <f>MAX(tbl_OIL[[#This Row],[Move]],0)</f>
        <v>0</v>
      </c>
      <c r="O22" s="46">
        <f>MAX(-tbl_OIL[[#This Row],[Move]],0)</f>
        <v>0.39000000000000057</v>
      </c>
      <c r="P22" s="46">
        <f ca="1">IF(ROW($N22)-5&lt;RSI_Periods, "", AVERAGE(INDIRECT(ADDRESS(ROW($N22)-RSI_Periods +1, MATCH("Upmove", Price_Header,0))): INDIRECT(ADDRESS(ROW($N22),MATCH("Upmove", Price_Header,0)))))</f>
        <v>6.0000000000000116E-2</v>
      </c>
      <c r="Q22" s="46">
        <f ca="1">IF(ROW($O22)-5&lt;RSI_Periods, "", AVERAGE(INDIRECT(ADDRESS(ROW($O22)-RSI_Periods +1, MATCH("Downmove", Price_Header,0))): INDIRECT(ADDRESS(ROW($O22),MATCH("Downmove", Price_Header,0)))))</f>
        <v>8.3571428571428699E-2</v>
      </c>
      <c r="R22" s="46">
        <f ca="1">IF(tbl_OIL[[#This Row],[Avg_Upmove]]="", "", tbl_OIL[[#This Row],[Avg_Upmove]]/tbl_OIL[[#This Row],[Avg_Downmove]])</f>
        <v>0.71794871794871828</v>
      </c>
      <c r="S22" s="10">
        <f ca="1">IF(ROW($N22)-4&lt;BB_Periods, "", _xlfn.STDEV.S(INDIRECT(ADDRESS(ROW($F22)-RSI_Periods +1, MATCH("Adj Close", Price_Header,0))): INDIRECT(ADDRESS(ROW($F22),MATCH("Adj Close", Price_Header,0)))))</f>
        <v>0.15242544565628308</v>
      </c>
    </row>
    <row r="23" spans="1:19" x14ac:dyDescent="0.35">
      <c r="A23" s="8">
        <v>44077</v>
      </c>
      <c r="B23" s="10">
        <v>12.6</v>
      </c>
      <c r="C23" s="10">
        <v>12.8</v>
      </c>
      <c r="D23" s="10">
        <v>12.48</v>
      </c>
      <c r="E23" s="10">
        <v>12.71</v>
      </c>
      <c r="F23" s="10">
        <v>12.71</v>
      </c>
      <c r="G23">
        <v>11600</v>
      </c>
      <c r="H23" s="10">
        <f>IF(tbl_OIL[[#This Row],[Date]]=$A$5, $F23, EMA_Beta*$H22 + (1-EMA_Beta)*$F23)</f>
        <v>13.021352781814794</v>
      </c>
      <c r="I23" s="46">
        <f ca="1">IF(tbl_OIL[[#This Row],[RS]]= "", "", 100-(100/(1+tbl_OIL[[#This Row],[RS]])))</f>
        <v>43.979057591623082</v>
      </c>
      <c r="J23" s="10">
        <f ca="1">IF(ROW($N23)-4&lt;BB_Periods, "", AVERAGE(INDIRECT(ADDRESS(ROW($F23)-RSI_Periods +1, MATCH("Adj Close", Price_Header,0))): INDIRECT(ADDRESS(ROW($F23),MATCH("Adj Close", Price_Header,0)))))</f>
        <v>13.085714285714285</v>
      </c>
      <c r="K23" s="10">
        <f ca="1">IF(tbl_OIL[[#This Row],[BB_Mean]]="", "", tbl_OIL[[#This Row],[BB_Mean]]+(BB_Width*tbl_OIL[[#This Row],[BB_Stdev]]))</f>
        <v>13.447650470970475</v>
      </c>
      <c r="L23" s="10">
        <f ca="1">IF(tbl_OIL[[#This Row],[BB_Mean]]="", "", tbl_OIL[[#This Row],[BB_Mean]]-(BB_Width*tbl_OIL[[#This Row],[BB_Stdev]]))</f>
        <v>12.723778100458096</v>
      </c>
      <c r="M23" s="46">
        <f>IF(ROW(tbl_OIL[[#This Row],[Adj Close]])=5, 0, $F23-$F22)</f>
        <v>-4.9999999999998934E-2</v>
      </c>
      <c r="N23" s="46">
        <f>MAX(tbl_OIL[[#This Row],[Move]],0)</f>
        <v>0</v>
      </c>
      <c r="O23" s="46">
        <f>MAX(-tbl_OIL[[#This Row],[Move]],0)</f>
        <v>4.9999999999998934E-2</v>
      </c>
      <c r="P23" s="46">
        <f ca="1">IF(ROW($N23)-5&lt;RSI_Periods, "", AVERAGE(INDIRECT(ADDRESS(ROW($N23)-RSI_Periods +1, MATCH("Upmove", Price_Header,0))): INDIRECT(ADDRESS(ROW($N23),MATCH("Upmove", Price_Header,0)))))</f>
        <v>6.0000000000000116E-2</v>
      </c>
      <c r="Q23" s="46">
        <f ca="1">IF(ROW($O23)-5&lt;RSI_Periods, "", AVERAGE(INDIRECT(ADDRESS(ROW($O23)-RSI_Periods +1, MATCH("Downmove", Price_Header,0))): INDIRECT(ADDRESS(ROW($O23),MATCH("Downmove", Price_Header,0)))))</f>
        <v>7.6428571428571443E-2</v>
      </c>
      <c r="R23" s="46">
        <f ca="1">IF(tbl_OIL[[#This Row],[Avg_Upmove]]="", "", tbl_OIL[[#This Row],[Avg_Upmove]]/tbl_OIL[[#This Row],[Avg_Downmove]])</f>
        <v>0.78504672897196404</v>
      </c>
      <c r="S23" s="10">
        <f ca="1">IF(ROW($N23)-4&lt;BB_Periods, "", _xlfn.STDEV.S(INDIRECT(ADDRESS(ROW($F23)-RSI_Periods +1, MATCH("Adj Close", Price_Header,0))): INDIRECT(ADDRESS(ROW($F23),MATCH("Adj Close", Price_Header,0)))))</f>
        <v>0.1809680926280943</v>
      </c>
    </row>
    <row r="24" spans="1:19" x14ac:dyDescent="0.35">
      <c r="A24" s="8">
        <v>44078</v>
      </c>
      <c r="B24" s="10">
        <v>12.71</v>
      </c>
      <c r="C24" s="10">
        <v>12.71</v>
      </c>
      <c r="D24" s="10">
        <v>12.21</v>
      </c>
      <c r="E24" s="10">
        <v>12.21</v>
      </c>
      <c r="F24" s="10">
        <v>12.21</v>
      </c>
      <c r="G24">
        <v>6700</v>
      </c>
      <c r="H24" s="10">
        <f>IF(tbl_OIL[[#This Row],[Date]]=$A$5, $F24, EMA_Beta*$H23 + (1-EMA_Beta)*$F24)</f>
        <v>12.940217503633315</v>
      </c>
      <c r="I24" s="46">
        <f ca="1">IF(tbl_OIL[[#This Row],[RS]]= "", "", 100-(100/(1+tbl_OIL[[#This Row],[RS]])))</f>
        <v>25.238095238095269</v>
      </c>
      <c r="J24" s="10">
        <f ca="1">IF(ROW($N24)-4&lt;BB_Periods, "", AVERAGE(INDIRECT(ADDRESS(ROW($F24)-RSI_Periods +1, MATCH("Adj Close", Price_Header,0))): INDIRECT(ADDRESS(ROW($F24),MATCH("Adj Close", Price_Header,0)))))</f>
        <v>13.011428571428571</v>
      </c>
      <c r="K24" s="10">
        <f ca="1">IF(tbl_OIL[[#This Row],[BB_Mean]]="", "", tbl_OIL[[#This Row],[BB_Mean]]+(BB_Width*tbl_OIL[[#This Row],[BB_Stdev]]))</f>
        <v>13.590119781387315</v>
      </c>
      <c r="L24" s="10">
        <f ca="1">IF(tbl_OIL[[#This Row],[BB_Mean]]="", "", tbl_OIL[[#This Row],[BB_Mean]]-(BB_Width*tbl_OIL[[#This Row],[BB_Stdev]]))</f>
        <v>12.432737361469826</v>
      </c>
      <c r="M24" s="46">
        <f>IF(ROW(tbl_OIL[[#This Row],[Adj Close]])=5, 0, $F24-$F23)</f>
        <v>-0.5</v>
      </c>
      <c r="N24" s="46">
        <f>MAX(tbl_OIL[[#This Row],[Move]],0)</f>
        <v>0</v>
      </c>
      <c r="O24" s="46">
        <f>MAX(-tbl_OIL[[#This Row],[Move]],0)</f>
        <v>0.5</v>
      </c>
      <c r="P24" s="46">
        <f ca="1">IF(ROW($N24)-5&lt;RSI_Periods, "", AVERAGE(INDIRECT(ADDRESS(ROW($N24)-RSI_Periods +1, MATCH("Upmove", Price_Header,0))): INDIRECT(ADDRESS(ROW($N24),MATCH("Upmove", Price_Header,0)))))</f>
        <v>3.7857142857142936E-2</v>
      </c>
      <c r="Q24" s="46">
        <f ca="1">IF(ROW($O24)-5&lt;RSI_Periods, "", AVERAGE(INDIRECT(ADDRESS(ROW($O24)-RSI_Periods +1, MATCH("Downmove", Price_Header,0))): INDIRECT(ADDRESS(ROW($O24),MATCH("Downmove", Price_Header,0)))))</f>
        <v>0.11214285714285717</v>
      </c>
      <c r="R24" s="46">
        <f ca="1">IF(tbl_OIL[[#This Row],[Avg_Upmove]]="", "", tbl_OIL[[#This Row],[Avg_Upmove]]/tbl_OIL[[#This Row],[Avg_Downmove]])</f>
        <v>0.33757961783439555</v>
      </c>
      <c r="S24" s="10">
        <f ca="1">IF(ROW($N24)-4&lt;BB_Periods, "", _xlfn.STDEV.S(INDIRECT(ADDRESS(ROW($F24)-RSI_Periods +1, MATCH("Adj Close", Price_Header,0))): INDIRECT(ADDRESS(ROW($F24),MATCH("Adj Close", Price_Header,0)))))</f>
        <v>0.28934560497937234</v>
      </c>
    </row>
    <row r="25" spans="1:19" x14ac:dyDescent="0.35">
      <c r="A25" s="8">
        <v>44082</v>
      </c>
      <c r="B25" s="10">
        <v>11.44</v>
      </c>
      <c r="C25" s="10">
        <v>11.54</v>
      </c>
      <c r="D25" s="10">
        <v>11.35</v>
      </c>
      <c r="E25" s="10">
        <v>11.43</v>
      </c>
      <c r="F25" s="10">
        <v>11.43</v>
      </c>
      <c r="G25">
        <v>15000</v>
      </c>
      <c r="H25" s="10">
        <f>IF(tbl_OIL[[#This Row],[Date]]=$A$5, $F25, EMA_Beta*$H24 + (1-EMA_Beta)*$F25)</f>
        <v>12.789195753269983</v>
      </c>
      <c r="I25" s="46">
        <f ca="1">IF(tbl_OIL[[#This Row],[RS]]= "", "", 100-(100/(1+tbl_OIL[[#This Row],[RS]])))</f>
        <v>18.861209964412836</v>
      </c>
      <c r="J25" s="10">
        <f ca="1">IF(ROW($N25)-4&lt;BB_Periods, "", AVERAGE(INDIRECT(ADDRESS(ROW($F25)-RSI_Periods +1, MATCH("Adj Close", Price_Header,0))): INDIRECT(ADDRESS(ROW($F25),MATCH("Adj Close", Price_Header,0)))))</f>
        <v>12.886428571428572</v>
      </c>
      <c r="K25" s="10">
        <f ca="1">IF(tbl_OIL[[#This Row],[BB_Mean]]="", "", tbl_OIL[[#This Row],[BB_Mean]]+(BB_Width*tbl_OIL[[#This Row],[BB_Stdev]]))</f>
        <v>13.90050206725866</v>
      </c>
      <c r="L25" s="10">
        <f ca="1">IF(tbl_OIL[[#This Row],[BB_Mean]]="", "", tbl_OIL[[#This Row],[BB_Mean]]-(BB_Width*tbl_OIL[[#This Row],[BB_Stdev]]))</f>
        <v>11.872355075598485</v>
      </c>
      <c r="M25" s="46">
        <f>IF(ROW(tbl_OIL[[#This Row],[Adj Close]])=5, 0, $F25-$F24)</f>
        <v>-0.78000000000000114</v>
      </c>
      <c r="N25" s="46">
        <f>MAX(tbl_OIL[[#This Row],[Move]],0)</f>
        <v>0</v>
      </c>
      <c r="O25" s="46">
        <f>MAX(-tbl_OIL[[#This Row],[Move]],0)</f>
        <v>0.78000000000000114</v>
      </c>
      <c r="P25" s="46">
        <f ca="1">IF(ROW($N25)-5&lt;RSI_Periods, "", AVERAGE(INDIRECT(ADDRESS(ROW($N25)-RSI_Periods +1, MATCH("Upmove", Price_Header,0))): INDIRECT(ADDRESS(ROW($N25),MATCH("Upmove", Price_Header,0)))))</f>
        <v>3.7857142857142936E-2</v>
      </c>
      <c r="Q25" s="46">
        <f ca="1">IF(ROW($O25)-5&lt;RSI_Periods, "", AVERAGE(INDIRECT(ADDRESS(ROW($O25)-RSI_Periods +1, MATCH("Downmove", Price_Header,0))): INDIRECT(ADDRESS(ROW($O25),MATCH("Downmove", Price_Header,0)))))</f>
        <v>0.16285714285714295</v>
      </c>
      <c r="R25" s="46">
        <f ca="1">IF(tbl_OIL[[#This Row],[Avg_Upmove]]="", "", tbl_OIL[[#This Row],[Avg_Upmove]]/tbl_OIL[[#This Row],[Avg_Downmove]])</f>
        <v>0.23245614035087755</v>
      </c>
      <c r="S25" s="10">
        <f ca="1">IF(ROW($N25)-4&lt;BB_Periods, "", _xlfn.STDEV.S(INDIRECT(ADDRESS(ROW($F25)-RSI_Periods +1, MATCH("Adj Close", Price_Header,0))): INDIRECT(ADDRESS(ROW($F25),MATCH("Adj Close", Price_Header,0)))))</f>
        <v>0.50703674791504383</v>
      </c>
    </row>
    <row r="26" spans="1:19" x14ac:dyDescent="0.35">
      <c r="A26" s="8">
        <v>44083</v>
      </c>
      <c r="B26" s="10">
        <v>11.43</v>
      </c>
      <c r="C26" s="10">
        <v>11.9</v>
      </c>
      <c r="D26" s="10">
        <v>11.43</v>
      </c>
      <c r="E26" s="10">
        <v>11.75</v>
      </c>
      <c r="F26" s="10">
        <v>11.75</v>
      </c>
      <c r="G26">
        <v>14900</v>
      </c>
      <c r="H26" s="10">
        <f>IF(tbl_OIL[[#This Row],[Date]]=$A$5, $F26, EMA_Beta*$H25 + (1-EMA_Beta)*$F26)</f>
        <v>12.685276177942985</v>
      </c>
      <c r="I26" s="46">
        <f ca="1">IF(tbl_OIL[[#This Row],[RS]]= "", "", 100-(100/(1+tbl_OIL[[#This Row],[RS]])))</f>
        <v>26.451612903225808</v>
      </c>
      <c r="J26" s="10">
        <f ca="1">IF(ROW($N26)-4&lt;BB_Periods, "", AVERAGE(INDIRECT(ADDRESS(ROW($F26)-RSI_Periods +1, MATCH("Adj Close", Price_Header,0))): INDIRECT(ADDRESS(ROW($F26),MATCH("Adj Close", Price_Header,0)))))</f>
        <v>12.782142857142858</v>
      </c>
      <c r="K26" s="10">
        <f ca="1">IF(tbl_OIL[[#This Row],[BB_Mean]]="", "", tbl_OIL[[#This Row],[BB_Mean]]+(BB_Width*tbl_OIL[[#This Row],[BB_Stdev]]))</f>
        <v>13.942598432706673</v>
      </c>
      <c r="L26" s="10">
        <f ca="1">IF(tbl_OIL[[#This Row],[BB_Mean]]="", "", tbl_OIL[[#This Row],[BB_Mean]]-(BB_Width*tbl_OIL[[#This Row],[BB_Stdev]]))</f>
        <v>11.621687281579044</v>
      </c>
      <c r="M26" s="46">
        <f>IF(ROW(tbl_OIL[[#This Row],[Adj Close]])=5, 0, $F26-$F25)</f>
        <v>0.32000000000000028</v>
      </c>
      <c r="N26" s="46">
        <f>MAX(tbl_OIL[[#This Row],[Move]],0)</f>
        <v>0.32000000000000028</v>
      </c>
      <c r="O26" s="46">
        <f>MAX(-tbl_OIL[[#This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5.8571428571428594E-2</v>
      </c>
      <c r="Q26" s="46">
        <f ca="1">IF(ROW($O26)-5&lt;RSI_Periods, "", AVERAGE(INDIRECT(ADDRESS(ROW($O26)-RSI_Periods +1, MATCH("Downmove", Price_Header,0))): INDIRECT(ADDRESS(ROW($O26),MATCH("Downmove", Price_Header,0)))))</f>
        <v>0.16285714285714295</v>
      </c>
      <c r="R26" s="46">
        <f ca="1">IF(tbl_OIL[[#This Row],[Avg_Upmove]]="", "", tbl_OIL[[#This Row],[Avg_Upmove]]/tbl_OIL[[#This Row],[Avg_Downmove]])</f>
        <v>0.3596491228070175</v>
      </c>
      <c r="S26" s="10">
        <f ca="1">IF(ROW($N26)-4&lt;BB_Periods, "", _xlfn.STDEV.S(INDIRECT(ADDRESS(ROW($F26)-RSI_Periods +1, MATCH("Adj Close", Price_Header,0))): INDIRECT(ADDRESS(ROW($F26),MATCH("Adj Close", Price_Header,0)))))</f>
        <v>0.58022778778190698</v>
      </c>
    </row>
    <row r="27" spans="1:19" x14ac:dyDescent="0.35">
      <c r="A27" s="8">
        <v>44084</v>
      </c>
      <c r="B27" s="10">
        <v>11.59</v>
      </c>
      <c r="C27" s="10">
        <v>11.71</v>
      </c>
      <c r="D27" s="10">
        <v>11.5</v>
      </c>
      <c r="E27" s="10">
        <v>11.5</v>
      </c>
      <c r="F27" s="10">
        <v>11.5</v>
      </c>
      <c r="G27">
        <v>5000</v>
      </c>
      <c r="H27" s="10">
        <f>IF(tbl_OIL[[#This Row],[Date]]=$A$5, $F27, EMA_Beta*$H26 + (1-EMA_Beta)*$F27)</f>
        <v>12.566748560148687</v>
      </c>
      <c r="I27" s="46">
        <f ca="1">IF(tbl_OIL[[#This Row],[RS]]= "", "", 100-(100/(1+tbl_OIL[[#This Row],[RS]])))</f>
        <v>25.38699690402477</v>
      </c>
      <c r="J27" s="10">
        <f ca="1">IF(ROW($N27)-4&lt;BB_Periods, "", AVERAGE(INDIRECT(ADDRESS(ROW($F27)-RSI_Periods +1, MATCH("Adj Close", Price_Header,0))): INDIRECT(ADDRESS(ROW($F27),MATCH("Adj Close", Price_Header,0)))))</f>
        <v>12.668571428571429</v>
      </c>
      <c r="K27" s="10">
        <f ca="1">IF(tbl_OIL[[#This Row],[BB_Mean]]="", "", tbl_OIL[[#This Row],[BB_Mean]]+(BB_Width*tbl_OIL[[#This Row],[BB_Stdev]]))</f>
        <v>13.998137167805504</v>
      </c>
      <c r="L27" s="10">
        <f ca="1">IF(tbl_OIL[[#This Row],[BB_Mean]]="", "", tbl_OIL[[#This Row],[BB_Mean]]-(BB_Width*tbl_OIL[[#This Row],[BB_Stdev]]))</f>
        <v>11.339005689337354</v>
      </c>
      <c r="M27" s="46">
        <f>IF(ROW(tbl_OIL[[#This Row],[Adj Close]])=5, 0, $F27-$F26)</f>
        <v>-0.25</v>
      </c>
      <c r="N27" s="46">
        <f>MAX(tbl_OIL[[#This Row],[Move]],0)</f>
        <v>0</v>
      </c>
      <c r="O27" s="46">
        <f>MAX(-tbl_OIL[[#This Row],[Move]],0)</f>
        <v>0.25</v>
      </c>
      <c r="P27" s="46">
        <f ca="1">IF(ROW($N27)-5&lt;RSI_Periods, "", AVERAGE(INDIRECT(ADDRESS(ROW($N27)-RSI_Periods +1, MATCH("Upmove", Price_Header,0))): INDIRECT(ADDRESS(ROW($N27),MATCH("Upmove", Price_Header,0)))))</f>
        <v>5.8571428571428594E-2</v>
      </c>
      <c r="Q27" s="46">
        <f ca="1">IF(ROW($O27)-5&lt;RSI_Periods, "", AVERAGE(INDIRECT(ADDRESS(ROW($O27)-RSI_Periods +1, MATCH("Downmove", Price_Header,0))): INDIRECT(ADDRESS(ROW($O27),MATCH("Downmove", Price_Header,0)))))</f>
        <v>0.17214285714285715</v>
      </c>
      <c r="R27" s="46">
        <f ca="1">IF(tbl_OIL[[#This Row],[Avg_Upmove]]="", "", tbl_OIL[[#This Row],[Avg_Upmove]]/tbl_OIL[[#This Row],[Avg_Downmove]])</f>
        <v>0.34024896265560178</v>
      </c>
      <c r="S27" s="10">
        <f ca="1">IF(ROW($N27)-4&lt;BB_Periods, "", _xlfn.STDEV.S(INDIRECT(ADDRESS(ROW($F27)-RSI_Periods +1, MATCH("Adj Close", Price_Header,0))): INDIRECT(ADDRESS(ROW($F27),MATCH("Adj Close", Price_Header,0)))))</f>
        <v>0.66478286961703803</v>
      </c>
    </row>
    <row r="28" spans="1:19" x14ac:dyDescent="0.35">
      <c r="A28" s="8">
        <v>44085</v>
      </c>
      <c r="B28" s="10">
        <v>11.53</v>
      </c>
      <c r="C28" s="10">
        <v>11.62</v>
      </c>
      <c r="D28" s="10">
        <v>11.5</v>
      </c>
      <c r="E28" s="10">
        <v>11.6</v>
      </c>
      <c r="F28" s="10">
        <v>11.6</v>
      </c>
      <c r="G28">
        <v>3700</v>
      </c>
      <c r="H28" s="10">
        <f>IF(tbl_OIL[[#This Row],[Date]]=$A$5, $F28, EMA_Beta*$H27 + (1-EMA_Beta)*$F28)</f>
        <v>12.470073704133819</v>
      </c>
      <c r="I28" s="46">
        <f ca="1">IF(tbl_OIL[[#This Row],[RS]]= "", "", 100-(100/(1+tbl_OIL[[#This Row],[RS]])))</f>
        <v>29.206349206349202</v>
      </c>
      <c r="J28" s="10">
        <f ca="1">IF(ROW($N28)-4&lt;BB_Periods, "", AVERAGE(INDIRECT(ADDRESS(ROW($F28)-RSI_Periods +1, MATCH("Adj Close", Price_Header,0))): INDIRECT(ADDRESS(ROW($F28),MATCH("Adj Close", Price_Header,0)))))</f>
        <v>12.575000000000001</v>
      </c>
      <c r="K28" s="10">
        <f ca="1">IF(tbl_OIL[[#This Row],[BB_Mean]]="", "", tbl_OIL[[#This Row],[BB_Mean]]+(BB_Width*tbl_OIL[[#This Row],[BB_Stdev]]))</f>
        <v>14.011464677334871</v>
      </c>
      <c r="L28" s="10">
        <f ca="1">IF(tbl_OIL[[#This Row],[BB_Mean]]="", "", tbl_OIL[[#This Row],[BB_Mean]]-(BB_Width*tbl_OIL[[#This Row],[BB_Stdev]]))</f>
        <v>11.138535322665131</v>
      </c>
      <c r="M28" s="46">
        <f>IF(ROW(tbl_OIL[[#This Row],[Adj Close]])=5, 0, $F28-$F27)</f>
        <v>9.9999999999999645E-2</v>
      </c>
      <c r="N28" s="46">
        <f>MAX(tbl_OIL[[#This Row],[Move]],0)</f>
        <v>9.9999999999999645E-2</v>
      </c>
      <c r="O28" s="46">
        <f>MAX(-tbl_OIL[[#This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6.5714285714285711E-2</v>
      </c>
      <c r="Q28" s="46">
        <f ca="1">IF(ROW($O28)-5&lt;RSI_Periods, "", AVERAGE(INDIRECT(ADDRESS(ROW($O28)-RSI_Periods +1, MATCH("Downmove", Price_Header,0))): INDIRECT(ADDRESS(ROW($O28),MATCH("Downmove", Price_Header,0)))))</f>
        <v>0.15928571428571431</v>
      </c>
      <c r="R28" s="46">
        <f ca="1">IF(tbl_OIL[[#This Row],[Avg_Upmove]]="", "", tbl_OIL[[#This Row],[Avg_Upmove]]/tbl_OIL[[#This Row],[Avg_Downmove]])</f>
        <v>0.41255605381165911</v>
      </c>
      <c r="S28" s="10">
        <f ca="1">IF(ROW($N28)-4&lt;BB_Periods, "", _xlfn.STDEV.S(INDIRECT(ADDRESS(ROW($F28)-RSI_Periods +1, MATCH("Adj Close", Price_Header,0))): INDIRECT(ADDRESS(ROW($F28),MATCH("Adj Close", Price_Header,0)))))</f>
        <v>0.71823233866743452</v>
      </c>
    </row>
    <row r="29" spans="1:19" x14ac:dyDescent="0.35">
      <c r="A29" s="8">
        <v>44088</v>
      </c>
      <c r="B29" s="10">
        <v>11.5</v>
      </c>
      <c r="C29" s="10">
        <v>11.56</v>
      </c>
      <c r="D29" s="10">
        <v>11.43</v>
      </c>
      <c r="E29" s="10">
        <v>11.54</v>
      </c>
      <c r="F29" s="10">
        <v>11.54</v>
      </c>
      <c r="G29">
        <v>13900</v>
      </c>
      <c r="H29" s="10">
        <f>IF(tbl_OIL[[#This Row],[Date]]=$A$5, $F29, EMA_Beta*$H28 + (1-EMA_Beta)*$F29)</f>
        <v>12.377066333720437</v>
      </c>
      <c r="I29" s="46">
        <f ca="1">IF(tbl_OIL[[#This Row],[RS]]= "", "", 100-(100/(1+tbl_OIL[[#This Row],[RS]])))</f>
        <v>25.407166123778481</v>
      </c>
      <c r="J29" s="10">
        <f ca="1">IF(ROW($N29)-4&lt;BB_Periods, "", AVERAGE(INDIRECT(ADDRESS(ROW($F29)-RSI_Periods +1, MATCH("Adj Close", Price_Header,0))): INDIRECT(ADDRESS(ROW($F29),MATCH("Adj Close", Price_Header,0)))))</f>
        <v>12.467142857142859</v>
      </c>
      <c r="K29" s="10">
        <f ca="1">IF(tbl_OIL[[#This Row],[BB_Mean]]="", "", tbl_OIL[[#This Row],[BB_Mean]]+(BB_Width*tbl_OIL[[#This Row],[BB_Stdev]]))</f>
        <v>13.974956936100639</v>
      </c>
      <c r="L29" s="10">
        <f ca="1">IF(tbl_OIL[[#This Row],[BB_Mean]]="", "", tbl_OIL[[#This Row],[BB_Mean]]-(BB_Width*tbl_OIL[[#This Row],[BB_Stdev]]))</f>
        <v>10.959328778185078</v>
      </c>
      <c r="M29" s="46">
        <f>IF(ROW(tbl_OIL[[#This Row],[Adj Close]])=5, 0, $F29-$F28)</f>
        <v>-6.0000000000000497E-2</v>
      </c>
      <c r="N29" s="46">
        <f>MAX(tbl_OIL[[#This Row],[Move]],0)</f>
        <v>0</v>
      </c>
      <c r="O29" s="46">
        <f>MAX(-tbl_OIL[[#This Row],[Move]],0)</f>
        <v>6.0000000000000497E-2</v>
      </c>
      <c r="P29" s="46">
        <f ca="1">IF(ROW($N29)-5&lt;RSI_Periods, "", AVERAGE(INDIRECT(ADDRESS(ROW($N29)-RSI_Periods +1, MATCH("Upmove", Price_Header,0))): INDIRECT(ADDRESS(ROW($N29),MATCH("Upmove", Price_Header,0)))))</f>
        <v>5.5714285714285668E-2</v>
      </c>
      <c r="Q29" s="46">
        <f ca="1">IF(ROW($O29)-5&lt;RSI_Periods, "", AVERAGE(INDIRECT(ADDRESS(ROW($O29)-RSI_Periods +1, MATCH("Downmove", Price_Header,0))): INDIRECT(ADDRESS(ROW($O29),MATCH("Downmove", Price_Header,0)))))</f>
        <v>0.16357142857142865</v>
      </c>
      <c r="R29" s="46">
        <f ca="1">IF(tbl_OIL[[#This Row],[Avg_Upmove]]="", "", tbl_OIL[[#This Row],[Avg_Upmove]]/tbl_OIL[[#This Row],[Avg_Downmove]])</f>
        <v>0.34061135371178997</v>
      </c>
      <c r="S29" s="10">
        <f ca="1">IF(ROW($N29)-4&lt;BB_Periods, "", _xlfn.STDEV.S(INDIRECT(ADDRESS(ROW($F29)-RSI_Periods +1, MATCH("Adj Close", Price_Header,0))): INDIRECT(ADDRESS(ROW($F29),MATCH("Adj Close", Price_Header,0)))))</f>
        <v>0.75390703947888982</v>
      </c>
    </row>
    <row r="30" spans="1:19" x14ac:dyDescent="0.35">
      <c r="A30" s="8">
        <v>44089</v>
      </c>
      <c r="B30" s="10">
        <v>11.52</v>
      </c>
      <c r="C30" s="10">
        <v>11.81</v>
      </c>
      <c r="D30" s="10">
        <v>11.52</v>
      </c>
      <c r="E30" s="10">
        <v>11.75</v>
      </c>
      <c r="F30" s="10">
        <v>11.75</v>
      </c>
      <c r="G30">
        <v>2500</v>
      </c>
      <c r="H30" s="10">
        <f>IF(tbl_OIL[[#This Row],[Date]]=$A$5, $F30, EMA_Beta*$H29 + (1-EMA_Beta)*$F30)</f>
        <v>12.314359700348394</v>
      </c>
      <c r="I30" s="46">
        <f ca="1">IF(tbl_OIL[[#This Row],[RS]]= "", "", 100-(100/(1+tbl_OIL[[#This Row],[RS]])))</f>
        <v>23.920265780730901</v>
      </c>
      <c r="J30" s="10">
        <f ca="1">IF(ROW($N30)-4&lt;BB_Periods, "", AVERAGE(INDIRECT(ADDRESS(ROW($F30)-RSI_Periods +1, MATCH("Adj Close", Price_Header,0))): INDIRECT(ADDRESS(ROW($F30),MATCH("Adj Close", Price_Header,0)))))</f>
        <v>12.355</v>
      </c>
      <c r="K30" s="10">
        <f ca="1">IF(tbl_OIL[[#This Row],[BB_Mean]]="", "", tbl_OIL[[#This Row],[BB_Mean]]+(BB_Width*tbl_OIL[[#This Row],[BB_Stdev]]))</f>
        <v>13.822572564055772</v>
      </c>
      <c r="L30" s="10">
        <f ca="1">IF(tbl_OIL[[#This Row],[BB_Mean]]="", "", tbl_OIL[[#This Row],[BB_Mean]]-(BB_Width*tbl_OIL[[#This Row],[BB_Stdev]]))</f>
        <v>10.887427435944229</v>
      </c>
      <c r="M30" s="46">
        <f>IF(ROW(tbl_OIL[[#This Row],[Adj Close]])=5, 0, $F30-$F29)</f>
        <v>0.21000000000000085</v>
      </c>
      <c r="N30" s="46">
        <f>MAX(tbl_OIL[[#This Row],[Move]],0)</f>
        <v>0.21000000000000085</v>
      </c>
      <c r="O30" s="46">
        <f>MAX(-tbl_OIL[[#This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5.1428571428571476E-2</v>
      </c>
      <c r="Q30" s="46">
        <f ca="1">IF(ROW($O30)-5&lt;RSI_Periods, "", AVERAGE(INDIRECT(ADDRESS(ROW($O30)-RSI_Periods +1, MATCH("Downmove", Price_Header,0))): INDIRECT(ADDRESS(ROW($O30),MATCH("Downmove", Price_Header,0)))))</f>
        <v>0.16357142857142865</v>
      </c>
      <c r="R30" s="46">
        <f ca="1">IF(tbl_OIL[[#This Row],[Avg_Upmove]]="", "", tbl_OIL[[#This Row],[Avg_Upmove]]/tbl_OIL[[#This Row],[Avg_Downmove]])</f>
        <v>0.3144104803493451</v>
      </c>
      <c r="S30" s="10">
        <f ca="1">IF(ROW($N30)-4&lt;BB_Periods, "", _xlfn.STDEV.S(INDIRECT(ADDRESS(ROW($F30)-RSI_Periods +1, MATCH("Adj Close", Price_Header,0))): INDIRECT(ADDRESS(ROW($F30),MATCH("Adj Close", Price_Header,0)))))</f>
        <v>0.73378628202788565</v>
      </c>
    </row>
    <row r="31" spans="1:19" x14ac:dyDescent="0.35">
      <c r="A31" s="8">
        <v>44090</v>
      </c>
      <c r="B31" s="10">
        <v>12.15</v>
      </c>
      <c r="C31" s="10">
        <v>12.25</v>
      </c>
      <c r="D31" s="10">
        <v>11.99</v>
      </c>
      <c r="E31" s="10">
        <v>12.23</v>
      </c>
      <c r="F31" s="10">
        <v>12.23</v>
      </c>
      <c r="G31">
        <v>6900</v>
      </c>
      <c r="H31" s="10">
        <f>IF(tbl_OIL[[#This Row],[Date]]=$A$5, $F31, EMA_Beta*$H30 + (1-EMA_Beta)*$F31)</f>
        <v>12.305923730313555</v>
      </c>
      <c r="I31" s="46">
        <f ca="1">IF(tbl_OIL[[#This Row],[RS]]= "", "", 100-(100/(1+tbl_OIL[[#This Row],[RS]])))</f>
        <v>34.88372093023257</v>
      </c>
      <c r="J31" s="10">
        <f ca="1">IF(ROW($N31)-4&lt;BB_Periods, "", AVERAGE(INDIRECT(ADDRESS(ROW($F31)-RSI_Periods +1, MATCH("Adj Close", Price_Header,0))): INDIRECT(ADDRESS(ROW($F31),MATCH("Adj Close", Price_Header,0)))))</f>
        <v>12.280714285714284</v>
      </c>
      <c r="K31" s="10">
        <f ca="1">IF(tbl_OIL[[#This Row],[BB_Mean]]="", "", tbl_OIL[[#This Row],[BB_Mean]]+(BB_Width*tbl_OIL[[#This Row],[BB_Stdev]]))</f>
        <v>13.650822968336872</v>
      </c>
      <c r="L31" s="10">
        <f ca="1">IF(tbl_OIL[[#This Row],[BB_Mean]]="", "", tbl_OIL[[#This Row],[BB_Mean]]-(BB_Width*tbl_OIL[[#This Row],[BB_Stdev]]))</f>
        <v>10.910605603091696</v>
      </c>
      <c r="M31" s="46">
        <f>IF(ROW(tbl_OIL[[#This Row],[Adj Close]])=5, 0, $F31-$F30)</f>
        <v>0.48000000000000043</v>
      </c>
      <c r="N31" s="46">
        <f>MAX(tbl_OIL[[#This Row],[Move]],0)</f>
        <v>0.48000000000000043</v>
      </c>
      <c r="O31" s="46">
        <f>MAX(-tbl_OIL[[#This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8.5714285714285784E-2</v>
      </c>
      <c r="Q31" s="46">
        <f ca="1">IF(ROW($O31)-5&lt;RSI_Periods, "", AVERAGE(INDIRECT(ADDRESS(ROW($O31)-RSI_Periods +1, MATCH("Downmove", Price_Header,0))): INDIRECT(ADDRESS(ROW($O31),MATCH("Downmove", Price_Header,0)))))</f>
        <v>0.16</v>
      </c>
      <c r="R31" s="46">
        <f ca="1">IF(tbl_OIL[[#This Row],[Avg_Upmove]]="", "", tbl_OIL[[#This Row],[Avg_Upmove]]/tbl_OIL[[#This Row],[Avg_Downmove]])</f>
        <v>0.53571428571428614</v>
      </c>
      <c r="S31" s="10">
        <f ca="1">IF(ROW($N31)-4&lt;BB_Periods, "", _xlfn.STDEV.S(INDIRECT(ADDRESS(ROW($F31)-RSI_Periods +1, MATCH("Adj Close", Price_Header,0))): INDIRECT(ADDRESS(ROW($F31),MATCH("Adj Close", Price_Header,0)))))</f>
        <v>0.68505434131129395</v>
      </c>
    </row>
    <row r="32" spans="1:19" x14ac:dyDescent="0.35">
      <c r="A32" s="8">
        <v>44091</v>
      </c>
      <c r="B32" s="10">
        <v>12.11</v>
      </c>
      <c r="C32" s="10">
        <v>12.52</v>
      </c>
      <c r="D32" s="10">
        <v>12.11</v>
      </c>
      <c r="E32" s="10">
        <v>12.46</v>
      </c>
      <c r="F32" s="10">
        <v>12.46</v>
      </c>
      <c r="G32">
        <v>22100</v>
      </c>
      <c r="H32" s="10">
        <f>IF(tbl_OIL[[#This Row],[Date]]=$A$5, $F32, EMA_Beta*$H31 + (1-EMA_Beta)*$F32)</f>
        <v>12.321331357282201</v>
      </c>
      <c r="I32" s="46">
        <f ca="1">IF(tbl_OIL[[#This Row],[RS]]= "", "", 100-(100/(1+tbl_OIL[[#This Row],[RS]])))</f>
        <v>40.740740740740762</v>
      </c>
      <c r="J32" s="10">
        <f ca="1">IF(ROW($N32)-4&lt;BB_Periods, "", AVERAGE(INDIRECT(ADDRESS(ROW($F32)-RSI_Periods +1, MATCH("Adj Close", Price_Header,0))): INDIRECT(ADDRESS(ROW($F32),MATCH("Adj Close", Price_Header,0)))))</f>
        <v>12.234285714285715</v>
      </c>
      <c r="K32" s="10">
        <f ca="1">IF(tbl_OIL[[#This Row],[BB_Mean]]="", "", tbl_OIL[[#This Row],[BB_Mean]]+(BB_Width*tbl_OIL[[#This Row],[BB_Stdev]]))</f>
        <v>13.525098559820576</v>
      </c>
      <c r="L32" s="10">
        <f ca="1">IF(tbl_OIL[[#This Row],[BB_Mean]]="", "", tbl_OIL[[#This Row],[BB_Mean]]-(BB_Width*tbl_OIL[[#This Row],[BB_Stdev]]))</f>
        <v>10.943472868750854</v>
      </c>
      <c r="M32" s="46">
        <f>IF(ROW(tbl_OIL[[#This Row],[Adj Close]])=5, 0, $F32-$F31)</f>
        <v>0.23000000000000043</v>
      </c>
      <c r="N32" s="46">
        <f>MAX(tbl_OIL[[#This Row],[Move]],0)</f>
        <v>0.23000000000000043</v>
      </c>
      <c r="O32" s="46">
        <f>MAX(-tbl_OIL[[#This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0.10214285714285724</v>
      </c>
      <c r="Q32" s="46">
        <f ca="1">IF(ROW($O32)-5&lt;RSI_Periods, "", AVERAGE(INDIRECT(ADDRESS(ROW($O32)-RSI_Periods +1, MATCH("Downmove", Price_Header,0))): INDIRECT(ADDRESS(ROW($O32),MATCH("Downmove", Price_Header,0)))))</f>
        <v>0.14857142857142858</v>
      </c>
      <c r="R32" s="46">
        <f ca="1">IF(tbl_OIL[[#This Row],[Avg_Upmove]]="", "", tbl_OIL[[#This Row],[Avg_Upmove]]/tbl_OIL[[#This Row],[Avg_Downmove]])</f>
        <v>0.68750000000000067</v>
      </c>
      <c r="S32" s="10">
        <f ca="1">IF(ROW($N32)-4&lt;BB_Periods, "", _xlfn.STDEV.S(INDIRECT(ADDRESS(ROW($F32)-RSI_Periods +1, MATCH("Adj Close", Price_Header,0))): INDIRECT(ADDRESS(ROW($F32),MATCH("Adj Close", Price_Header,0)))))</f>
        <v>0.64540642276743021</v>
      </c>
    </row>
    <row r="33" spans="1:19" x14ac:dyDescent="0.35">
      <c r="A33" s="8">
        <v>44092</v>
      </c>
      <c r="B33" s="10">
        <v>12.43</v>
      </c>
      <c r="C33" s="10">
        <v>12.53</v>
      </c>
      <c r="D33" s="10">
        <v>12.39</v>
      </c>
      <c r="E33" s="10">
        <v>12.4</v>
      </c>
      <c r="F33" s="10">
        <v>12.4</v>
      </c>
      <c r="G33">
        <v>13200</v>
      </c>
      <c r="H33" s="10">
        <f>IF(tbl_OIL[[#This Row],[Date]]=$A$5, $F33, EMA_Beta*$H32 + (1-EMA_Beta)*$F33)</f>
        <v>12.329198221553982</v>
      </c>
      <c r="I33" s="46">
        <f ca="1">IF(tbl_OIL[[#This Row],[RS]]= "", "", 100-(100/(1+tbl_OIL[[#This Row],[RS]])))</f>
        <v>39.887640449438223</v>
      </c>
      <c r="J33" s="10">
        <f ca="1">IF(ROW($N33)-4&lt;BB_Periods, "", AVERAGE(INDIRECT(ADDRESS(ROW($F33)-RSI_Periods +1, MATCH("Adj Close", Price_Header,0))): INDIRECT(ADDRESS(ROW($F33),MATCH("Adj Close", Price_Header,0)))))</f>
        <v>12.182857142857143</v>
      </c>
      <c r="K33" s="10">
        <f ca="1">IF(tbl_OIL[[#This Row],[BB_Mean]]="", "", tbl_OIL[[#This Row],[BB_Mean]]+(BB_Width*tbl_OIL[[#This Row],[BB_Stdev]]))</f>
        <v>13.375280107862652</v>
      </c>
      <c r="L33" s="10">
        <f ca="1">IF(tbl_OIL[[#This Row],[BB_Mean]]="", "", tbl_OIL[[#This Row],[BB_Mean]]-(BB_Width*tbl_OIL[[#This Row],[BB_Stdev]]))</f>
        <v>10.990434177851634</v>
      </c>
      <c r="M33" s="46">
        <f>IF(ROW(tbl_OIL[[#This Row],[Adj Close]])=5, 0, $F33-$F32)</f>
        <v>-6.0000000000000497E-2</v>
      </c>
      <c r="N33" s="46">
        <f>MAX(tbl_OIL[[#This Row],[Move]],0)</f>
        <v>0</v>
      </c>
      <c r="O33" s="46">
        <f>MAX(-tbl_OIL[[#This Row],[Move]],0)</f>
        <v>6.0000000000000497E-2</v>
      </c>
      <c r="P33" s="46">
        <f ca="1">IF(ROW($N33)-5&lt;RSI_Periods, "", AVERAGE(INDIRECT(ADDRESS(ROW($N33)-RSI_Periods +1, MATCH("Upmove", Price_Header,0))): INDIRECT(ADDRESS(ROW($N33),MATCH("Upmove", Price_Header,0)))))</f>
        <v>0.10142857142857155</v>
      </c>
      <c r="Q33" s="46">
        <f ca="1">IF(ROW($O33)-5&lt;RSI_Periods, "", AVERAGE(INDIRECT(ADDRESS(ROW($O33)-RSI_Periods +1, MATCH("Downmove", Price_Header,0))): INDIRECT(ADDRESS(ROW($O33),MATCH("Downmove", Price_Header,0)))))</f>
        <v>0.15285714285714289</v>
      </c>
      <c r="R33" s="46">
        <f ca="1">IF(tbl_OIL[[#This Row],[Avg_Upmove]]="", "", tbl_OIL[[#This Row],[Avg_Upmove]]/tbl_OIL[[#This Row],[Avg_Downmove]])</f>
        <v>0.66355140186915951</v>
      </c>
      <c r="S33" s="10">
        <f ca="1">IF(ROW($N33)-4&lt;BB_Periods, "", _xlfn.STDEV.S(INDIRECT(ADDRESS(ROW($F33)-RSI_Periods +1, MATCH("Adj Close", Price_Header,0))): INDIRECT(ADDRESS(ROW($F33),MATCH("Adj Close", Price_Header,0)))))</f>
        <v>0.59621148250275435</v>
      </c>
    </row>
    <row r="34" spans="1:19" x14ac:dyDescent="0.35">
      <c r="A34" s="8">
        <v>44095</v>
      </c>
      <c r="B34" s="10">
        <v>12.19</v>
      </c>
      <c r="C34" s="10">
        <v>12.25</v>
      </c>
      <c r="D34" s="10">
        <v>11.83</v>
      </c>
      <c r="E34" s="10">
        <v>12.05</v>
      </c>
      <c r="F34" s="10">
        <v>12.05</v>
      </c>
      <c r="G34">
        <v>14800</v>
      </c>
      <c r="H34" s="10">
        <f>IF(tbl_OIL[[#This Row],[Date]]=$A$5, $F34, EMA_Beta*$H33 + (1-EMA_Beta)*$F34)</f>
        <v>12.301278399398583</v>
      </c>
      <c r="I34" s="46">
        <f ca="1">IF(tbl_OIL[[#This Row],[RS]]= "", "", 100-(100/(1+tbl_OIL[[#This Row],[RS]])))</f>
        <v>36.787564766839388</v>
      </c>
      <c r="J34" s="10">
        <f ca="1">IF(ROW($N34)-4&lt;BB_Periods, "", AVERAGE(INDIRECT(ADDRESS(ROW($F34)-RSI_Periods +1, MATCH("Adj Close", Price_Header,0))): INDIRECT(ADDRESS(ROW($F34),MATCH("Adj Close", Price_Header,0)))))</f>
        <v>12.110000000000001</v>
      </c>
      <c r="K34" s="10">
        <f ca="1">IF(tbl_OIL[[#This Row],[BB_Mean]]="", "", tbl_OIL[[#This Row],[BB_Mean]]+(BB_Width*tbl_OIL[[#This Row],[BB_Stdev]]))</f>
        <v>13.188089478233104</v>
      </c>
      <c r="L34" s="10">
        <f ca="1">IF(tbl_OIL[[#This Row],[BB_Mean]]="", "", tbl_OIL[[#This Row],[BB_Mean]]-(BB_Width*tbl_OIL[[#This Row],[BB_Stdev]]))</f>
        <v>11.031910521766898</v>
      </c>
      <c r="M34" s="46">
        <f>IF(ROW(tbl_OIL[[#This Row],[Adj Close]])=5, 0, $F34-$F33)</f>
        <v>-0.34999999999999964</v>
      </c>
      <c r="N34" s="46">
        <f>MAX(tbl_OIL[[#This Row],[Move]],0)</f>
        <v>0</v>
      </c>
      <c r="O34" s="46">
        <f>MAX(-tbl_OIL[[#This Row],[Move]],0)</f>
        <v>0.34999999999999964</v>
      </c>
      <c r="P34" s="46">
        <f ca="1">IF(ROW($N34)-5&lt;RSI_Periods, "", AVERAGE(INDIRECT(ADDRESS(ROW($N34)-RSI_Periods +1, MATCH("Upmove", Price_Header,0))): INDIRECT(ADDRESS(ROW($N34),MATCH("Upmove", Price_Header,0)))))</f>
        <v>0.10142857142857155</v>
      </c>
      <c r="Q34" s="46">
        <f ca="1">IF(ROW($O34)-5&lt;RSI_Periods, "", AVERAGE(INDIRECT(ADDRESS(ROW($O34)-RSI_Periods +1, MATCH("Downmove", Price_Header,0))): INDIRECT(ADDRESS(ROW($O34),MATCH("Downmove", Price_Header,0)))))</f>
        <v>0.17428571428571438</v>
      </c>
      <c r="R34" s="46">
        <f ca="1">IF(tbl_OIL[[#This Row],[Avg_Upmove]]="", "", tbl_OIL[[#This Row],[Avg_Upmove]]/tbl_OIL[[#This Row],[Avg_Downmove]])</f>
        <v>0.58196721311475452</v>
      </c>
      <c r="S34" s="10">
        <f ca="1">IF(ROW($N34)-4&lt;BB_Periods, "", _xlfn.STDEV.S(INDIRECT(ADDRESS(ROW($F34)-RSI_Periods +1, MATCH("Adj Close", Price_Header,0))): INDIRECT(ADDRESS(ROW($F34),MATCH("Adj Close", Price_Header,0)))))</f>
        <v>0.53904473911655149</v>
      </c>
    </row>
    <row r="35" spans="1:19" x14ac:dyDescent="0.35">
      <c r="A35" s="8">
        <v>44096</v>
      </c>
      <c r="B35" s="10">
        <v>12.06</v>
      </c>
      <c r="C35" s="10">
        <v>12.16</v>
      </c>
      <c r="D35" s="10">
        <v>11.95</v>
      </c>
      <c r="E35" s="10">
        <v>12.02</v>
      </c>
      <c r="F35" s="10">
        <v>12.02</v>
      </c>
      <c r="G35">
        <v>7000</v>
      </c>
      <c r="H35" s="10">
        <f>IF(tbl_OIL[[#This Row],[Date]]=$A$5, $F35, EMA_Beta*$H34 + (1-EMA_Beta)*$F35)</f>
        <v>12.273150559458726</v>
      </c>
      <c r="I35" s="46">
        <f ca="1">IF(tbl_OIL[[#This Row],[RS]]= "", "", 100-(100/(1+tbl_OIL[[#This Row],[RS]])))</f>
        <v>35.170603674540686</v>
      </c>
      <c r="J35" s="10">
        <f ca="1">IF(ROW($N35)-4&lt;BB_Periods, "", AVERAGE(INDIRECT(ADDRESS(ROW($F35)-RSI_Periods +1, MATCH("Adj Close", Price_Header,0))): INDIRECT(ADDRESS(ROW($F35),MATCH("Adj Close", Price_Header,0)))))</f>
        <v>12.029285714285717</v>
      </c>
      <c r="K35" s="10">
        <f ca="1">IF(tbl_OIL[[#This Row],[BB_Mean]]="", "", tbl_OIL[[#This Row],[BB_Mean]]+(BB_Width*tbl_OIL[[#This Row],[BB_Stdev]]))</f>
        <v>12.925893485000145</v>
      </c>
      <c r="L35" s="10">
        <f ca="1">IF(tbl_OIL[[#This Row],[BB_Mean]]="", "", tbl_OIL[[#This Row],[BB_Mean]]-(BB_Width*tbl_OIL[[#This Row],[BB_Stdev]]))</f>
        <v>11.132677943571288</v>
      </c>
      <c r="M35" s="46">
        <f>IF(ROW(tbl_OIL[[#This Row],[Adj Close]])=5, 0, $F35-$F34)</f>
        <v>-3.0000000000001137E-2</v>
      </c>
      <c r="N35" s="46">
        <f>MAX(tbl_OIL[[#This Row],[Move]],0)</f>
        <v>0</v>
      </c>
      <c r="O35" s="46">
        <f>MAX(-tbl_OIL[[#This Row],[Move]],0)</f>
        <v>3.0000000000001137E-2</v>
      </c>
      <c r="P35" s="46">
        <f ca="1">IF(ROW($N35)-5&lt;RSI_Periods, "", AVERAGE(INDIRECT(ADDRESS(ROW($N35)-RSI_Periods +1, MATCH("Upmove", Price_Header,0))): INDIRECT(ADDRESS(ROW($N35),MATCH("Upmove", Price_Header,0)))))</f>
        <v>9.5714285714285835E-2</v>
      </c>
      <c r="Q35" s="46">
        <f ca="1">IF(ROW($O35)-5&lt;RSI_Periods, "", AVERAGE(INDIRECT(ADDRESS(ROW($O35)-RSI_Periods +1, MATCH("Downmove", Price_Header,0))): INDIRECT(ADDRESS(ROW($O35),MATCH("Downmove", Price_Header,0)))))</f>
        <v>0.1764285714285716</v>
      </c>
      <c r="R35" s="46">
        <f ca="1">IF(tbl_OIL[[#This Row],[Avg_Upmove]]="", "", tbl_OIL[[#This Row],[Avg_Upmove]]/tbl_OIL[[#This Row],[Avg_Downmove]])</f>
        <v>0.54251012145749</v>
      </c>
      <c r="S35" s="10">
        <f ca="1">IF(ROW($N35)-4&lt;BB_Periods, "", _xlfn.STDEV.S(INDIRECT(ADDRESS(ROW($F35)-RSI_Periods +1, MATCH("Adj Close", Price_Header,0))): INDIRECT(ADDRESS(ROW($F35),MATCH("Adj Close", Price_Header,0)))))</f>
        <v>0.44830388535721388</v>
      </c>
    </row>
    <row r="36" spans="1:19" x14ac:dyDescent="0.35">
      <c r="A36" s="8">
        <v>44097</v>
      </c>
      <c r="B36" s="10">
        <v>12.07</v>
      </c>
      <c r="C36" s="10">
        <v>12.26</v>
      </c>
      <c r="D36" s="10">
        <v>11.95</v>
      </c>
      <c r="E36" s="10">
        <v>11.95</v>
      </c>
      <c r="F36" s="10">
        <v>11.95</v>
      </c>
      <c r="G36">
        <v>3400</v>
      </c>
      <c r="H36" s="10">
        <f>IF(tbl_OIL[[#This Row],[Date]]=$A$5, $F36, EMA_Beta*$H35 + (1-EMA_Beta)*$F36)</f>
        <v>12.240835503512853</v>
      </c>
      <c r="I36" s="46">
        <f ca="1">IF(tbl_OIL[[#This Row],[RS]]= "", "", 100-(100/(1+tbl_OIL[[#This Row],[RS]])))</f>
        <v>38.395415472779376</v>
      </c>
      <c r="J36" s="10">
        <f ca="1">IF(ROW($N36)-4&lt;BB_Periods, "", AVERAGE(INDIRECT(ADDRESS(ROW($F36)-RSI_Periods +1, MATCH("Adj Close", Price_Header,0))): INDIRECT(ADDRESS(ROW($F36),MATCH("Adj Close", Price_Header,0)))))</f>
        <v>11.971428571428573</v>
      </c>
      <c r="K36" s="10">
        <f ca="1">IF(tbl_OIL[[#This Row],[BB_Mean]]="", "", tbl_OIL[[#This Row],[BB_Mean]]+(BB_Width*tbl_OIL[[#This Row],[BB_Stdev]]))</f>
        <v>12.763343762803048</v>
      </c>
      <c r="L36" s="10">
        <f ca="1">IF(tbl_OIL[[#This Row],[BB_Mean]]="", "", tbl_OIL[[#This Row],[BB_Mean]]-(BB_Width*tbl_OIL[[#This Row],[BB_Stdev]]))</f>
        <v>11.179513380054098</v>
      </c>
      <c r="M36" s="46">
        <f>IF(ROW(tbl_OIL[[#This Row],[Adj Close]])=5, 0, $F36-$F35)</f>
        <v>-7.0000000000000284E-2</v>
      </c>
      <c r="N36" s="46">
        <f>MAX(tbl_OIL[[#This Row],[Move]],0)</f>
        <v>0</v>
      </c>
      <c r="O36" s="46">
        <f>MAX(-tbl_OIL[[#This Row],[Move]],0)</f>
        <v>7.0000000000000284E-2</v>
      </c>
      <c r="P36" s="46">
        <f ca="1">IF(ROW($N36)-5&lt;RSI_Periods, "", AVERAGE(INDIRECT(ADDRESS(ROW($N36)-RSI_Periods +1, MATCH("Upmove", Price_Header,0))): INDIRECT(ADDRESS(ROW($N36),MATCH("Upmove", Price_Header,0)))))</f>
        <v>9.5714285714285835E-2</v>
      </c>
      <c r="Q36" s="46">
        <f ca="1">IF(ROW($O36)-5&lt;RSI_Periods, "", AVERAGE(INDIRECT(ADDRESS(ROW($O36)-RSI_Periods +1, MATCH("Downmove", Price_Header,0))): INDIRECT(ADDRESS(ROW($O36),MATCH("Downmove", Price_Header,0)))))</f>
        <v>0.15357142857142872</v>
      </c>
      <c r="R36" s="46">
        <f ca="1">IF(tbl_OIL[[#This Row],[Avg_Upmove]]="", "", tbl_OIL[[#This Row],[Avg_Upmove]]/tbl_OIL[[#This Row],[Avg_Downmove]])</f>
        <v>0.6232558139534885</v>
      </c>
      <c r="S36" s="10">
        <f ca="1">IF(ROW($N36)-4&lt;BB_Periods, "", _xlfn.STDEV.S(INDIRECT(ADDRESS(ROW($F36)-RSI_Periods +1, MATCH("Adj Close", Price_Header,0))): INDIRECT(ADDRESS(ROW($F36),MATCH("Adj Close", Price_Header,0)))))</f>
        <v>0.3959575956872376</v>
      </c>
    </row>
    <row r="37" spans="1:19" x14ac:dyDescent="0.35">
      <c r="A37" s="8">
        <v>44098</v>
      </c>
      <c r="B37" s="10">
        <v>11.99</v>
      </c>
      <c r="C37" s="10">
        <v>12.15</v>
      </c>
      <c r="D37" s="10">
        <v>11.99</v>
      </c>
      <c r="E37" s="10">
        <v>12.13</v>
      </c>
      <c r="F37" s="10">
        <v>12.13</v>
      </c>
      <c r="G37">
        <v>13900</v>
      </c>
      <c r="H37" s="10">
        <f>IF(tbl_OIL[[#This Row],[Date]]=$A$5, $F37, EMA_Beta*$H36 + (1-EMA_Beta)*$F37)</f>
        <v>12.229751953161568</v>
      </c>
      <c r="I37" s="46">
        <f ca="1">IF(tbl_OIL[[#This Row],[RS]]= "", "", 100-(100/(1+tbl_OIL[[#This Row],[RS]])))</f>
        <v>41.988950276243109</v>
      </c>
      <c r="J37" s="10">
        <f ca="1">IF(ROW($N37)-4&lt;BB_Periods, "", AVERAGE(INDIRECT(ADDRESS(ROW($F37)-RSI_Periods +1, MATCH("Adj Close", Price_Header,0))): INDIRECT(ADDRESS(ROW($F37),MATCH("Adj Close", Price_Header,0)))))</f>
        <v>11.930000000000001</v>
      </c>
      <c r="K37" s="10">
        <f ca="1">IF(tbl_OIL[[#This Row],[BB_Mean]]="", "", tbl_OIL[[#This Row],[BB_Mean]]+(BB_Width*tbl_OIL[[#This Row],[BB_Stdev]]))</f>
        <v>12.607960743133976</v>
      </c>
      <c r="L37" s="10">
        <f ca="1">IF(tbl_OIL[[#This Row],[BB_Mean]]="", "", tbl_OIL[[#This Row],[BB_Mean]]-(BB_Width*tbl_OIL[[#This Row],[BB_Stdev]]))</f>
        <v>11.252039256866027</v>
      </c>
      <c r="M37" s="46">
        <f>IF(ROW(tbl_OIL[[#This Row],[Adj Close]])=5, 0, $F37-$F36)</f>
        <v>0.18000000000000149</v>
      </c>
      <c r="N37" s="46">
        <f>MAX(tbl_OIL[[#This Row],[Move]],0)</f>
        <v>0.18000000000000149</v>
      </c>
      <c r="O37" s="46">
        <f>MAX(-tbl_OIL[[#This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0.10857142857142879</v>
      </c>
      <c r="Q37" s="46">
        <f ca="1">IF(ROW($O37)-5&lt;RSI_Periods, "", AVERAGE(INDIRECT(ADDRESS(ROW($O37)-RSI_Periods +1, MATCH("Downmove", Price_Header,0))): INDIRECT(ADDRESS(ROW($O37),MATCH("Downmove", Price_Header,0)))))</f>
        <v>0.15000000000000022</v>
      </c>
      <c r="R37" s="46">
        <f ca="1">IF(tbl_OIL[[#This Row],[Avg_Upmove]]="", "", tbl_OIL[[#This Row],[Avg_Upmove]]/tbl_OIL[[#This Row],[Avg_Downmove]])</f>
        <v>0.72380952380952424</v>
      </c>
      <c r="S37" s="10">
        <f ca="1">IF(ROW($N37)-4&lt;BB_Periods, "", _xlfn.STDEV.S(INDIRECT(ADDRESS(ROW($F37)-RSI_Periods +1, MATCH("Adj Close", Price_Header,0))): INDIRECT(ADDRESS(ROW($F37),MATCH("Adj Close", Price_Header,0)))))</f>
        <v>0.33898037156698702</v>
      </c>
    </row>
    <row r="38" spans="1:19" x14ac:dyDescent="0.35">
      <c r="A38" s="8">
        <v>44099</v>
      </c>
      <c r="B38" s="10">
        <v>12.13</v>
      </c>
      <c r="C38" s="10">
        <v>12.13</v>
      </c>
      <c r="D38" s="10">
        <v>12.05</v>
      </c>
      <c r="E38" s="10">
        <v>12.05</v>
      </c>
      <c r="F38" s="10">
        <v>12.05</v>
      </c>
      <c r="G38">
        <v>2000</v>
      </c>
      <c r="H38" s="10">
        <f>IF(tbl_OIL[[#This Row],[Date]]=$A$5, $F38, EMA_Beta*$H37 + (1-EMA_Beta)*$F38)</f>
        <v>12.211776757845412</v>
      </c>
      <c r="I38" s="46">
        <f ca="1">IF(tbl_OIL[[#This Row],[RS]]= "", "", 100-(100/(1+tbl_OIL[[#This Row],[RS]])))</f>
        <v>47.5</v>
      </c>
      <c r="J38" s="10">
        <f ca="1">IF(ROW($N38)-4&lt;BB_Periods, "", AVERAGE(INDIRECT(ADDRESS(ROW($F38)-RSI_Periods +1, MATCH("Adj Close", Price_Header,0))): INDIRECT(ADDRESS(ROW($F38),MATCH("Adj Close", Price_Header,0)))))</f>
        <v>11.918571428571427</v>
      </c>
      <c r="K38" s="10">
        <f ca="1">IF(tbl_OIL[[#This Row],[BB_Mean]]="", "", tbl_OIL[[#This Row],[BB_Mean]]+(BB_Width*tbl_OIL[[#This Row],[BB_Stdev]]))</f>
        <v>12.581425729436878</v>
      </c>
      <c r="L38" s="10">
        <f ca="1">IF(tbl_OIL[[#This Row],[BB_Mean]]="", "", tbl_OIL[[#This Row],[BB_Mean]]-(BB_Width*tbl_OIL[[#This Row],[BB_Stdev]]))</f>
        <v>11.255717127705976</v>
      </c>
      <c r="M38" s="46">
        <f>IF(ROW(tbl_OIL[[#This Row],[Adj Close]])=5, 0, $F38-$F37)</f>
        <v>-8.0000000000000071E-2</v>
      </c>
      <c r="N38" s="46">
        <f>MAX(tbl_OIL[[#This Row],[Move]],0)</f>
        <v>0</v>
      </c>
      <c r="O38" s="46">
        <f>MAX(-tbl_OIL[[#This Row],[Move]],0)</f>
        <v>8.0000000000000071E-2</v>
      </c>
      <c r="P38" s="46">
        <f ca="1">IF(ROW($N38)-5&lt;RSI_Periods, "", AVERAGE(INDIRECT(ADDRESS(ROW($N38)-RSI_Periods +1, MATCH("Upmove", Price_Header,0))): INDIRECT(ADDRESS(ROW($N38),MATCH("Upmove", Price_Header,0)))))</f>
        <v>0.10857142857142879</v>
      </c>
      <c r="Q38" s="46">
        <f ca="1">IF(ROW($O38)-5&lt;RSI_Periods, "", AVERAGE(INDIRECT(ADDRESS(ROW($O38)-RSI_Periods +1, MATCH("Downmove", Price_Header,0))): INDIRECT(ADDRESS(ROW($O38),MATCH("Downmove", Price_Header,0)))))</f>
        <v>0.12000000000000023</v>
      </c>
      <c r="R38" s="46">
        <f ca="1">IF(tbl_OIL[[#This Row],[Avg_Upmove]]="", "", tbl_OIL[[#This Row],[Avg_Upmove]]/tbl_OIL[[#This Row],[Avg_Downmove]])</f>
        <v>0.90476190476190488</v>
      </c>
      <c r="S38" s="10">
        <f ca="1">IF(ROW($N38)-4&lt;BB_Periods, "", _xlfn.STDEV.S(INDIRECT(ADDRESS(ROW($F38)-RSI_Periods +1, MATCH("Adj Close", Price_Header,0))): INDIRECT(ADDRESS(ROW($F38),MATCH("Adj Close", Price_Header,0)))))</f>
        <v>0.33142715043272525</v>
      </c>
    </row>
    <row r="39" spans="1:19" x14ac:dyDescent="0.35">
      <c r="A39" s="8">
        <v>44102</v>
      </c>
      <c r="B39" s="10">
        <v>12.17</v>
      </c>
      <c r="C39" s="10">
        <v>12.24</v>
      </c>
      <c r="D39" s="10">
        <v>12.13</v>
      </c>
      <c r="E39" s="10">
        <v>12.16</v>
      </c>
      <c r="F39" s="10">
        <v>12.16</v>
      </c>
      <c r="G39">
        <v>5500</v>
      </c>
      <c r="H39" s="10">
        <f>IF(tbl_OIL[[#This Row],[Date]]=$A$5, $F39, EMA_Beta*$H38 + (1-EMA_Beta)*$F39)</f>
        <v>12.206599082060871</v>
      </c>
      <c r="I39" s="46">
        <f ca="1">IF(tbl_OIL[[#This Row],[RS]]= "", "", 100-(100/(1+tbl_OIL[[#This Row],[RS]])))</f>
        <v>64.42687747035572</v>
      </c>
      <c r="J39" s="10">
        <f ca="1">IF(ROW($N39)-4&lt;BB_Periods, "", AVERAGE(INDIRECT(ADDRESS(ROW($F39)-RSI_Periods +1, MATCH("Adj Close", Price_Header,0))): INDIRECT(ADDRESS(ROW($F39),MATCH("Adj Close", Price_Header,0)))))</f>
        <v>11.970714285714285</v>
      </c>
      <c r="K39" s="10">
        <f ca="1">IF(tbl_OIL[[#This Row],[BB_Mean]]="", "", tbl_OIL[[#This Row],[BB_Mean]]+(BB_Width*tbl_OIL[[#This Row],[BB_Stdev]]))</f>
        <v>12.580756618959814</v>
      </c>
      <c r="L39" s="10">
        <f ca="1">IF(tbl_OIL[[#This Row],[BB_Mean]]="", "", tbl_OIL[[#This Row],[BB_Mean]]-(BB_Width*tbl_OIL[[#This Row],[BB_Stdev]]))</f>
        <v>11.360671952468756</v>
      </c>
      <c r="M39" s="46">
        <f>IF(ROW(tbl_OIL[[#This Row],[Adj Close]])=5, 0, $F39-$F38)</f>
        <v>0.10999999999999943</v>
      </c>
      <c r="N39" s="46">
        <f>MAX(tbl_OIL[[#This Row],[Move]],0)</f>
        <v>0.10999999999999943</v>
      </c>
      <c r="O39" s="46">
        <f>MAX(-tbl_OIL[[#This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0.11642857142857162</v>
      </c>
      <c r="Q39" s="46">
        <f ca="1">IF(ROW($O39)-5&lt;RSI_Periods, "", AVERAGE(INDIRECT(ADDRESS(ROW($O39)-RSI_Periods +1, MATCH("Downmove", Price_Header,0))): INDIRECT(ADDRESS(ROW($O39),MATCH("Downmove", Price_Header,0)))))</f>
        <v>6.4285714285714432E-2</v>
      </c>
      <c r="R39" s="46">
        <f ca="1">IF(tbl_OIL[[#This Row],[Avg_Upmove]]="", "", tbl_OIL[[#This Row],[Avg_Upmove]]/tbl_OIL[[#This Row],[Avg_Downmove]])</f>
        <v>1.81111111111111</v>
      </c>
      <c r="S39" s="10">
        <f ca="1">IF(ROW($N39)-4&lt;BB_Periods, "", _xlfn.STDEV.S(INDIRECT(ADDRESS(ROW($F39)-RSI_Periods +1, MATCH("Adj Close", Price_Header,0))): INDIRECT(ADDRESS(ROW($F39),MATCH("Adj Close", Price_Header,0)))))</f>
        <v>0.30502116662276463</v>
      </c>
    </row>
    <row r="40" spans="1:19" x14ac:dyDescent="0.35">
      <c r="A40" s="8">
        <v>44103</v>
      </c>
      <c r="B40" s="10">
        <v>11.9</v>
      </c>
      <c r="C40" s="10">
        <v>11.9</v>
      </c>
      <c r="D40" s="10">
        <v>11.61</v>
      </c>
      <c r="E40" s="10">
        <v>11.78</v>
      </c>
      <c r="F40" s="10">
        <v>11.78</v>
      </c>
      <c r="G40">
        <v>2800</v>
      </c>
      <c r="H40" s="10">
        <f>IF(tbl_OIL[[#This Row],[Date]]=$A$5, $F40, EMA_Beta*$H39 + (1-EMA_Beta)*$F40)</f>
        <v>12.163939173854782</v>
      </c>
      <c r="I40" s="46">
        <f ca="1">IF(tbl_OIL[[#This Row],[RS]]= "", "", 100-(100/(1+tbl_OIL[[#This Row],[RS]])))</f>
        <v>50.579150579150571</v>
      </c>
      <c r="J40" s="10">
        <f ca="1">IF(ROW($N40)-4&lt;BB_Periods, "", AVERAGE(INDIRECT(ADDRESS(ROW($F40)-RSI_Periods +1, MATCH("Adj Close", Price_Header,0))): INDIRECT(ADDRESS(ROW($F40),MATCH("Adj Close", Price_Header,0)))))</f>
        <v>11.972857142857146</v>
      </c>
      <c r="K40" s="10">
        <f ca="1">IF(tbl_OIL[[#This Row],[BB_Mean]]="", "", tbl_OIL[[#This Row],[BB_Mean]]+(BB_Width*tbl_OIL[[#This Row],[BB_Stdev]]))</f>
        <v>12.579762461612935</v>
      </c>
      <c r="L40" s="10">
        <f ca="1">IF(tbl_OIL[[#This Row],[BB_Mean]]="", "", tbl_OIL[[#This Row],[BB_Mean]]-(BB_Width*tbl_OIL[[#This Row],[BB_Stdev]]))</f>
        <v>11.365951824101357</v>
      </c>
      <c r="M40" s="46">
        <f>IF(ROW(tbl_OIL[[#This Row],[Adj Close]])=5, 0, $F40-$F39)</f>
        <v>-0.38000000000000078</v>
      </c>
      <c r="N40" s="46">
        <f>MAX(tbl_OIL[[#This Row],[Move]],0)</f>
        <v>0</v>
      </c>
      <c r="O40" s="46">
        <f>MAX(-tbl_OIL[[#This Row],[Move]],0)</f>
        <v>0.38000000000000078</v>
      </c>
      <c r="P40" s="46">
        <f ca="1">IF(ROW($N40)-5&lt;RSI_Periods, "", AVERAGE(INDIRECT(ADDRESS(ROW($N40)-RSI_Periods +1, MATCH("Upmove", Price_Header,0))): INDIRECT(ADDRESS(ROW($N40),MATCH("Upmove", Price_Header,0)))))</f>
        <v>9.3571428571428736E-2</v>
      </c>
      <c r="Q40" s="46">
        <f ca="1">IF(ROW($O40)-5&lt;RSI_Periods, "", AVERAGE(INDIRECT(ADDRESS(ROW($O40)-RSI_Periods +1, MATCH("Downmove", Price_Header,0))): INDIRECT(ADDRESS(ROW($O40),MATCH("Downmove", Price_Header,0)))))</f>
        <v>9.1428571428571637E-2</v>
      </c>
      <c r="R40" s="46">
        <f ca="1">IF(tbl_OIL[[#This Row],[Avg_Upmove]]="", "", tbl_OIL[[#This Row],[Avg_Upmove]]/tbl_OIL[[#This Row],[Avg_Downmove]])</f>
        <v>1.0234374999999996</v>
      </c>
      <c r="S40" s="10">
        <f ca="1">IF(ROW($N40)-4&lt;BB_Periods, "", _xlfn.STDEV.S(INDIRECT(ADDRESS(ROW($F40)-RSI_Periods +1, MATCH("Adj Close", Price_Header,0))): INDIRECT(ADDRESS(ROW($F40),MATCH("Adj Close", Price_Header,0)))))</f>
        <v>0.30345265937789495</v>
      </c>
    </row>
    <row r="41" spans="1:19" x14ac:dyDescent="0.35">
      <c r="A41" s="8">
        <v>44104</v>
      </c>
      <c r="B41" s="10">
        <v>11.98</v>
      </c>
      <c r="C41" s="10">
        <v>12.08</v>
      </c>
      <c r="D41" s="10">
        <v>11.96</v>
      </c>
      <c r="E41" s="10">
        <v>12.05</v>
      </c>
      <c r="F41" s="10">
        <v>12.05</v>
      </c>
      <c r="G41">
        <v>2600</v>
      </c>
      <c r="H41" s="10">
        <f>IF(tbl_OIL[[#This Row],[Date]]=$A$5, $F41, EMA_Beta*$H40 + (1-EMA_Beta)*$F41)</f>
        <v>12.152545256469304</v>
      </c>
      <c r="I41" s="46">
        <f ca="1">IF(tbl_OIL[[#This Row],[RS]]= "", "", 100-(100/(1+tbl_OIL[[#This Row],[RS]])))</f>
        <v>60.536398467432939</v>
      </c>
      <c r="J41" s="10">
        <f ca="1">IF(ROW($N41)-4&lt;BB_Periods, "", AVERAGE(INDIRECT(ADDRESS(ROW($F41)-RSI_Periods +1, MATCH("Adj Close", Price_Header,0))): INDIRECT(ADDRESS(ROW($F41),MATCH("Adj Close", Price_Header,0)))))</f>
        <v>12.012142857142859</v>
      </c>
      <c r="K41" s="10">
        <f ca="1">IF(tbl_OIL[[#This Row],[BB_Mean]]="", "", tbl_OIL[[#This Row],[BB_Mean]]+(BB_Width*tbl_OIL[[#This Row],[BB_Stdev]]))</f>
        <v>12.555022845094785</v>
      </c>
      <c r="L41" s="10">
        <f ca="1">IF(tbl_OIL[[#This Row],[BB_Mean]]="", "", tbl_OIL[[#This Row],[BB_Mean]]-(BB_Width*tbl_OIL[[#This Row],[BB_Stdev]]))</f>
        <v>11.469262869190933</v>
      </c>
      <c r="M41" s="46">
        <f>IF(ROW(tbl_OIL[[#This Row],[Adj Close]])=5, 0, $F41-$F40)</f>
        <v>0.27000000000000135</v>
      </c>
      <c r="N41" s="46">
        <f>MAX(tbl_OIL[[#This Row],[Move]],0)</f>
        <v>0.27000000000000135</v>
      </c>
      <c r="O41" s="46">
        <f>MAX(-tbl_OIL[[#This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0.11285714285714311</v>
      </c>
      <c r="Q41" s="46">
        <f ca="1">IF(ROW($O41)-5&lt;RSI_Periods, "", AVERAGE(INDIRECT(ADDRESS(ROW($O41)-RSI_Periods +1, MATCH("Downmove", Price_Header,0))): INDIRECT(ADDRESS(ROW($O41),MATCH("Downmove", Price_Header,0)))))</f>
        <v>7.3571428571428774E-2</v>
      </c>
      <c r="R41" s="46">
        <f ca="1">IF(tbl_OIL[[#This Row],[Avg_Upmove]]="", "", tbl_OIL[[#This Row],[Avg_Upmove]]/tbl_OIL[[#This Row],[Avg_Downmove]])</f>
        <v>1.5339805825242712</v>
      </c>
      <c r="S41" s="10">
        <f ca="1">IF(ROW($N41)-4&lt;BB_Periods, "", _xlfn.STDEV.S(INDIRECT(ADDRESS(ROW($F41)-RSI_Periods +1, MATCH("Adj Close", Price_Header,0))): INDIRECT(ADDRESS(ROW($F41),MATCH("Adj Close", Price_Header,0)))))</f>
        <v>0.27143999397596252</v>
      </c>
    </row>
    <row r="42" spans="1:19" x14ac:dyDescent="0.35">
      <c r="A42" s="8">
        <v>44105</v>
      </c>
      <c r="B42" s="10">
        <v>11.79</v>
      </c>
      <c r="C42" s="10">
        <v>11.8</v>
      </c>
      <c r="D42" s="10">
        <v>11.43</v>
      </c>
      <c r="E42" s="10">
        <v>11.7</v>
      </c>
      <c r="F42" s="10">
        <v>11.7</v>
      </c>
      <c r="G42">
        <v>8300</v>
      </c>
      <c r="H42" s="10">
        <f>IF(tbl_OIL[[#This Row],[Date]]=$A$5, $F42, EMA_Beta*$H41 + (1-EMA_Beta)*$F42)</f>
        <v>12.107290730822374</v>
      </c>
      <c r="I42" s="46">
        <f ca="1">IF(tbl_OIL[[#This Row],[RS]]= "", "", 100-(100/(1+tbl_OIL[[#This Row],[RS]])))</f>
        <v>51.748251748251732</v>
      </c>
      <c r="J42" s="10">
        <f ca="1">IF(ROW($N42)-4&lt;BB_Periods, "", AVERAGE(INDIRECT(ADDRESS(ROW($F42)-RSI_Periods +1, MATCH("Adj Close", Price_Header,0))): INDIRECT(ADDRESS(ROW($F42),MATCH("Adj Close", Price_Header,0)))))</f>
        <v>12.019285714285713</v>
      </c>
      <c r="K42" s="10">
        <f ca="1">IF(tbl_OIL[[#This Row],[BB_Mean]]="", "", tbl_OIL[[#This Row],[BB_Mean]]+(BB_Width*tbl_OIL[[#This Row],[BB_Stdev]]))</f>
        <v>12.541026250197183</v>
      </c>
      <c r="L42" s="10">
        <f ca="1">IF(tbl_OIL[[#This Row],[BB_Mean]]="", "", tbl_OIL[[#This Row],[BB_Mean]]-(BB_Width*tbl_OIL[[#This Row],[BB_Stdev]]))</f>
        <v>11.497545178374244</v>
      </c>
      <c r="M42" s="46">
        <f>IF(ROW(tbl_OIL[[#This Row],[Adj Close]])=5, 0, $F42-$F41)</f>
        <v>-0.35000000000000142</v>
      </c>
      <c r="N42" s="46">
        <f>MAX(tbl_OIL[[#This Row],[Move]],0)</f>
        <v>0</v>
      </c>
      <c r="O42" s="46">
        <f>MAX(-tbl_OIL[[#This Row],[Move]],0)</f>
        <v>0.35000000000000142</v>
      </c>
      <c r="P42" s="46">
        <f ca="1">IF(ROW($N42)-5&lt;RSI_Periods, "", AVERAGE(INDIRECT(ADDRESS(ROW($N42)-RSI_Periods +1, MATCH("Upmove", Price_Header,0))): INDIRECT(ADDRESS(ROW($N42),MATCH("Upmove", Price_Header,0)))))</f>
        <v>0.105714285714286</v>
      </c>
      <c r="Q42" s="46">
        <f ca="1">IF(ROW($O42)-5&lt;RSI_Periods, "", AVERAGE(INDIRECT(ADDRESS(ROW($O42)-RSI_Periods +1, MATCH("Downmove", Price_Header,0))): INDIRECT(ADDRESS(ROW($O42),MATCH("Downmove", Price_Header,0)))))</f>
        <v>9.8571428571428879E-2</v>
      </c>
      <c r="R42" s="46">
        <f ca="1">IF(tbl_OIL[[#This Row],[Avg_Upmove]]="", "", tbl_OIL[[#This Row],[Avg_Upmove]]/tbl_OIL[[#This Row],[Avg_Downmove]])</f>
        <v>1.0724637681159415</v>
      </c>
      <c r="S42" s="10">
        <f ca="1">IF(ROW($N42)-4&lt;BB_Periods, "", _xlfn.STDEV.S(INDIRECT(ADDRESS(ROW($F42)-RSI_Periods +1, MATCH("Adj Close", Price_Header,0))): INDIRECT(ADDRESS(ROW($F42),MATCH("Adj Close", Price_Header,0)))))</f>
        <v>0.26087026795573492</v>
      </c>
    </row>
    <row r="43" spans="1:19" x14ac:dyDescent="0.35">
      <c r="A43" s="8">
        <v>44106</v>
      </c>
      <c r="B43" s="10">
        <v>11.22</v>
      </c>
      <c r="C43" s="10">
        <v>11.42</v>
      </c>
      <c r="D43" s="10">
        <v>11.18</v>
      </c>
      <c r="E43" s="10">
        <v>11.29</v>
      </c>
      <c r="F43" s="10">
        <v>11.29</v>
      </c>
      <c r="G43">
        <v>15600</v>
      </c>
      <c r="H43" s="10">
        <f>IF(tbl_OIL[[#This Row],[Date]]=$A$5, $F43, EMA_Beta*$H42 + (1-EMA_Beta)*$F43)</f>
        <v>12.025561657740136</v>
      </c>
      <c r="I43" s="46">
        <f ca="1">IF(tbl_OIL[[#This Row],[RS]]= "", "", 100-(100/(1+tbl_OIL[[#This Row],[RS]])))</f>
        <v>46.105919003115275</v>
      </c>
      <c r="J43" s="10">
        <f ca="1">IF(ROW($N43)-4&lt;BB_Periods, "", AVERAGE(INDIRECT(ADDRESS(ROW($F43)-RSI_Periods +1, MATCH("Adj Close", Price_Header,0))): INDIRECT(ADDRESS(ROW($F43),MATCH("Adj Close", Price_Header,0)))))</f>
        <v>12.001428571428571</v>
      </c>
      <c r="K43" s="10">
        <f ca="1">IF(tbl_OIL[[#This Row],[BB_Mean]]="", "", tbl_OIL[[#This Row],[BB_Mean]]+(BB_Width*tbl_OIL[[#This Row],[BB_Stdev]]))</f>
        <v>12.604592391138105</v>
      </c>
      <c r="L43" s="10">
        <f ca="1">IF(tbl_OIL[[#This Row],[BB_Mean]]="", "", tbl_OIL[[#This Row],[BB_Mean]]-(BB_Width*tbl_OIL[[#This Row],[BB_Stdev]]))</f>
        <v>11.398264751719037</v>
      </c>
      <c r="M43" s="46">
        <f>IF(ROW(tbl_OIL[[#This Row],[Adj Close]])=5, 0, $F43-$F42)</f>
        <v>-0.41000000000000014</v>
      </c>
      <c r="N43" s="46">
        <f>MAX(tbl_OIL[[#This Row],[Move]],0)</f>
        <v>0</v>
      </c>
      <c r="O43" s="46">
        <f>MAX(-tbl_OIL[[#This Row],[Move]],0)</f>
        <v>0.41000000000000014</v>
      </c>
      <c r="P43" s="46">
        <f ca="1">IF(ROW($N43)-5&lt;RSI_Periods, "", AVERAGE(INDIRECT(ADDRESS(ROW($N43)-RSI_Periods +1, MATCH("Upmove", Price_Header,0))): INDIRECT(ADDRESS(ROW($N43),MATCH("Upmove", Price_Header,0)))))</f>
        <v>0.105714285714286</v>
      </c>
      <c r="Q43" s="46">
        <f ca="1">IF(ROW($O43)-5&lt;RSI_Periods, "", AVERAGE(INDIRECT(ADDRESS(ROW($O43)-RSI_Periods +1, MATCH("Downmove", Price_Header,0))): INDIRECT(ADDRESS(ROW($O43),MATCH("Downmove", Price_Header,0)))))</f>
        <v>0.12357142857142886</v>
      </c>
      <c r="R43" s="46">
        <f ca="1">IF(tbl_OIL[[#This Row],[Avg_Upmove]]="", "", tbl_OIL[[#This Row],[Avg_Upmove]]/tbl_OIL[[#This Row],[Avg_Downmove]])</f>
        <v>0.85549132947976902</v>
      </c>
      <c r="S43" s="10">
        <f ca="1">IF(ROW($N43)-4&lt;BB_Periods, "", _xlfn.STDEV.S(INDIRECT(ADDRESS(ROW($F43)-RSI_Periods +1, MATCH("Adj Close", Price_Header,0))): INDIRECT(ADDRESS(ROW($F43),MATCH("Adj Close", Price_Header,0)))))</f>
        <v>0.30158190985476674</v>
      </c>
    </row>
    <row r="44" spans="1:19" x14ac:dyDescent="0.35">
      <c r="A44" s="8">
        <v>44109</v>
      </c>
      <c r="B44" s="10">
        <v>11.92</v>
      </c>
      <c r="C44" s="10">
        <v>12.02</v>
      </c>
      <c r="D44" s="10">
        <v>11.69</v>
      </c>
      <c r="E44" s="10">
        <v>11.99</v>
      </c>
      <c r="F44" s="10">
        <v>11.99</v>
      </c>
      <c r="G44">
        <v>18100</v>
      </c>
      <c r="H44" s="10">
        <f>IF(tbl_OIL[[#This Row],[Date]]=$A$5, $F44, EMA_Beta*$H43 + (1-EMA_Beta)*$F44)</f>
        <v>12.022005491966123</v>
      </c>
      <c r="I44" s="46">
        <f ca="1">IF(tbl_OIL[[#This Row],[RS]]= "", "", 100-(100/(1+tbl_OIL[[#This Row],[RS]])))</f>
        <v>53.243243243243235</v>
      </c>
      <c r="J44" s="10">
        <f ca="1">IF(ROW($N44)-4&lt;BB_Periods, "", AVERAGE(INDIRECT(ADDRESS(ROW($F44)-RSI_Periods +1, MATCH("Adj Close", Price_Header,0))): INDIRECT(ADDRESS(ROW($F44),MATCH("Adj Close", Price_Header,0)))))</f>
        <v>12.018571428571429</v>
      </c>
      <c r="K44" s="10">
        <f ca="1">IF(tbl_OIL[[#This Row],[BB_Mean]]="", "", tbl_OIL[[#This Row],[BB_Mean]]+(BB_Width*tbl_OIL[[#This Row],[BB_Stdev]]))</f>
        <v>12.604344140747125</v>
      </c>
      <c r="L44" s="10">
        <f ca="1">IF(tbl_OIL[[#This Row],[BB_Mean]]="", "", tbl_OIL[[#This Row],[BB_Mean]]-(BB_Width*tbl_OIL[[#This Row],[BB_Stdev]]))</f>
        <v>11.432798716395732</v>
      </c>
      <c r="M44" s="46">
        <f>IF(ROW(tbl_OIL[[#This Row],[Adj Close]])=5, 0, $F44-$F43)</f>
        <v>0.70000000000000107</v>
      </c>
      <c r="N44" s="46">
        <f>MAX(tbl_OIL[[#This Row],[Move]],0)</f>
        <v>0.70000000000000107</v>
      </c>
      <c r="O44" s="46">
        <f>MAX(-tbl_OIL[[#This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0.14071428571428601</v>
      </c>
      <c r="Q44" s="46">
        <f ca="1">IF(ROW($O44)-5&lt;RSI_Periods, "", AVERAGE(INDIRECT(ADDRESS(ROW($O44)-RSI_Periods +1, MATCH("Downmove", Price_Header,0))): INDIRECT(ADDRESS(ROW($O44),MATCH("Downmove", Price_Header,0)))))</f>
        <v>0.12357142857142886</v>
      </c>
      <c r="R44" s="46">
        <f ca="1">IF(tbl_OIL[[#This Row],[Avg_Upmove]]="", "", tbl_OIL[[#This Row],[Avg_Upmove]]/tbl_OIL[[#This Row],[Avg_Downmove]])</f>
        <v>1.1387283236994217</v>
      </c>
      <c r="S44" s="10">
        <f ca="1">IF(ROW($N44)-4&lt;BB_Periods, "", _xlfn.STDEV.S(INDIRECT(ADDRESS(ROW($F44)-RSI_Periods +1, MATCH("Adj Close", Price_Header,0))): INDIRECT(ADDRESS(ROW($F44),MATCH("Adj Close", Price_Header,0)))))</f>
        <v>0.2928863560878483</v>
      </c>
    </row>
    <row r="45" spans="1:19" x14ac:dyDescent="0.35">
      <c r="A45" s="8">
        <v>44110</v>
      </c>
      <c r="B45" s="10">
        <v>12.31</v>
      </c>
      <c r="C45" s="10">
        <v>12.34</v>
      </c>
      <c r="D45" s="10">
        <v>12.13</v>
      </c>
      <c r="E45" s="10">
        <v>12.13</v>
      </c>
      <c r="F45" s="10">
        <v>12.13</v>
      </c>
      <c r="G45">
        <v>19600</v>
      </c>
      <c r="H45" s="10">
        <f>IF(tbl_OIL[[#This Row],[Date]]=$A$5, $F45, EMA_Beta*$H44 + (1-EMA_Beta)*$F45)</f>
        <v>12.032804942769511</v>
      </c>
      <c r="I45" s="46">
        <f ca="1">IF(tbl_OIL[[#This Row],[RS]]= "", "", 100-(100/(1+tbl_OIL[[#This Row],[RS]])))</f>
        <v>48.511904761904773</v>
      </c>
      <c r="J45" s="10">
        <f ca="1">IF(ROW($N45)-4&lt;BB_Periods, "", AVERAGE(INDIRECT(ADDRESS(ROW($F45)-RSI_Periods +1, MATCH("Adj Close", Price_Header,0))): INDIRECT(ADDRESS(ROW($F45),MATCH("Adj Close", Price_Header,0)))))</f>
        <v>12.011428571428569</v>
      </c>
      <c r="K45" s="10">
        <f ca="1">IF(tbl_OIL[[#This Row],[BB_Mean]]="", "", tbl_OIL[[#This Row],[BB_Mean]]+(BB_Width*tbl_OIL[[#This Row],[BB_Stdev]]))</f>
        <v>12.588469145544311</v>
      </c>
      <c r="L45" s="10">
        <f ca="1">IF(tbl_OIL[[#This Row],[BB_Mean]]="", "", tbl_OIL[[#This Row],[BB_Mean]]-(BB_Width*tbl_OIL[[#This Row],[BB_Stdev]]))</f>
        <v>11.434387997312827</v>
      </c>
      <c r="M45" s="46">
        <f>IF(ROW(tbl_OIL[[#This Row],[Adj Close]])=5, 0, $F45-$F44)</f>
        <v>0.14000000000000057</v>
      </c>
      <c r="N45" s="46">
        <f>MAX(tbl_OIL[[#This Row],[Move]],0)</f>
        <v>0.14000000000000057</v>
      </c>
      <c r="O45" s="46">
        <f>MAX(-tbl_OIL[[#This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0.11642857142857174</v>
      </c>
      <c r="Q45" s="46">
        <f ca="1">IF(ROW($O45)-5&lt;RSI_Periods, "", AVERAGE(INDIRECT(ADDRESS(ROW($O45)-RSI_Periods +1, MATCH("Downmove", Price_Header,0))): INDIRECT(ADDRESS(ROW($O45),MATCH("Downmove", Price_Header,0)))))</f>
        <v>0.12357142857142886</v>
      </c>
      <c r="R45" s="46">
        <f ca="1">IF(tbl_OIL[[#This Row],[Avg_Upmove]]="", "", tbl_OIL[[#This Row],[Avg_Upmove]]/tbl_OIL[[#This Row],[Avg_Downmove]])</f>
        <v>0.94219653179190788</v>
      </c>
      <c r="S45" s="10">
        <f ca="1">IF(ROW($N45)-4&lt;BB_Periods, "", _xlfn.STDEV.S(INDIRECT(ADDRESS(ROW($F45)-RSI_Periods +1, MATCH("Adj Close", Price_Header,0))): INDIRECT(ADDRESS(ROW($F45),MATCH("Adj Close", Price_Header,0)))))</f>
        <v>0.28852028705787108</v>
      </c>
    </row>
    <row r="46" spans="1:19" x14ac:dyDescent="0.35">
      <c r="A46" s="8">
        <v>44111</v>
      </c>
      <c r="B46" s="10">
        <v>12.03</v>
      </c>
      <c r="C46" s="10">
        <v>12.09</v>
      </c>
      <c r="D46" s="10">
        <v>11.89</v>
      </c>
      <c r="E46" s="10">
        <v>12.09</v>
      </c>
      <c r="F46" s="10">
        <v>12.09</v>
      </c>
      <c r="G46">
        <v>6900</v>
      </c>
      <c r="H46" s="10">
        <f>IF(tbl_OIL[[#This Row],[Date]]=$A$5, $F46, EMA_Beta*$H45 + (1-EMA_Beta)*$F46)</f>
        <v>12.038524448492559</v>
      </c>
      <c r="I46" s="46">
        <f ca="1">IF(tbl_OIL[[#This Row],[RS]]= "", "", 100-(100/(1+tbl_OIL[[#This Row],[RS]])))</f>
        <v>44.164037854889592</v>
      </c>
      <c r="J46" s="10">
        <f ca="1">IF(ROW($N46)-4&lt;BB_Periods, "", AVERAGE(INDIRECT(ADDRESS(ROW($F46)-RSI_Periods +1, MATCH("Adj Close", Price_Header,0))): INDIRECT(ADDRESS(ROW($F46),MATCH("Adj Close", Price_Header,0)))))</f>
        <v>11.985000000000001</v>
      </c>
      <c r="K46" s="10">
        <f ca="1">IF(tbl_OIL[[#This Row],[BB_Mean]]="", "", tbl_OIL[[#This Row],[BB_Mean]]+(BB_Width*tbl_OIL[[#This Row],[BB_Stdev]]))</f>
        <v>12.504570828813405</v>
      </c>
      <c r="L46" s="10">
        <f ca="1">IF(tbl_OIL[[#This Row],[BB_Mean]]="", "", tbl_OIL[[#This Row],[BB_Mean]]-(BB_Width*tbl_OIL[[#This Row],[BB_Stdev]]))</f>
        <v>11.465429171186598</v>
      </c>
      <c r="M46" s="46">
        <f>IF(ROW(tbl_OIL[[#This Row],[Adj Close]])=5, 0, $F46-$F45)</f>
        <v>-4.0000000000000924E-2</v>
      </c>
      <c r="N46" s="46">
        <f>MAX(tbl_OIL[[#This Row],[Move]],0)</f>
        <v>0</v>
      </c>
      <c r="O46" s="46">
        <f>MAX(-tbl_OIL[[#This Row],[Move]],0)</f>
        <v>4.0000000000000924E-2</v>
      </c>
      <c r="P46" s="46">
        <f ca="1">IF(ROW($N46)-5&lt;RSI_Periods, "", AVERAGE(INDIRECT(ADDRESS(ROW($N46)-RSI_Periods +1, MATCH("Upmove", Price_Header,0))): INDIRECT(ADDRESS(ROW($N46),MATCH("Upmove", Price_Header,0)))))</f>
        <v>0.10000000000000028</v>
      </c>
      <c r="Q46" s="46">
        <f ca="1">IF(ROW($O46)-5&lt;RSI_Periods, "", AVERAGE(INDIRECT(ADDRESS(ROW($O46)-RSI_Periods +1, MATCH("Downmove", Price_Header,0))): INDIRECT(ADDRESS(ROW($O46),MATCH("Downmove", Price_Header,0)))))</f>
        <v>0.12642857142857178</v>
      </c>
      <c r="R46" s="46">
        <f ca="1">IF(tbl_OIL[[#This Row],[Avg_Upmove]]="", "", tbl_OIL[[#This Row],[Avg_Upmove]]/tbl_OIL[[#This Row],[Avg_Downmove]])</f>
        <v>0.79096045197740117</v>
      </c>
      <c r="S46" s="10">
        <f ca="1">IF(ROW($N46)-4&lt;BB_Periods, "", _xlfn.STDEV.S(INDIRECT(ADDRESS(ROW($F46)-RSI_Periods +1, MATCH("Adj Close", Price_Header,0))): INDIRECT(ADDRESS(ROW($F46),MATCH("Adj Close", Price_Header,0)))))</f>
        <v>0.25978541440670178</v>
      </c>
    </row>
    <row r="47" spans="1:19" x14ac:dyDescent="0.35">
      <c r="A47" s="8">
        <v>44112</v>
      </c>
      <c r="B47" s="10">
        <v>12.33</v>
      </c>
      <c r="C47" s="10">
        <v>12.47</v>
      </c>
      <c r="D47" s="10">
        <v>12.33</v>
      </c>
      <c r="E47" s="10">
        <v>12.47</v>
      </c>
      <c r="F47" s="10">
        <v>12.47</v>
      </c>
      <c r="G47">
        <v>4000</v>
      </c>
      <c r="H47" s="10">
        <f>IF(tbl_OIL[[#This Row],[Date]]=$A$5, $F47, EMA_Beta*$H46 + (1-EMA_Beta)*$F47)</f>
        <v>12.081672003643304</v>
      </c>
      <c r="I47" s="46">
        <f ca="1">IF(tbl_OIL[[#This Row],[RS]]= "", "", 100-(100/(1+tbl_OIL[[#This Row],[RS]])))</f>
        <v>51.0028653295129</v>
      </c>
      <c r="J47" s="10">
        <f ca="1">IF(ROW($N47)-4&lt;BB_Periods, "", AVERAGE(INDIRECT(ADDRESS(ROW($F47)-RSI_Periods +1, MATCH("Adj Close", Price_Header,0))): INDIRECT(ADDRESS(ROW($F47),MATCH("Adj Close", Price_Header,0)))))</f>
        <v>11.99</v>
      </c>
      <c r="K47" s="10">
        <f ca="1">IF(tbl_OIL[[#This Row],[BB_Mean]]="", "", tbl_OIL[[#This Row],[BB_Mean]]+(BB_Width*tbl_OIL[[#This Row],[BB_Stdev]]))</f>
        <v>12.527801793629187</v>
      </c>
      <c r="L47" s="10">
        <f ca="1">IF(tbl_OIL[[#This Row],[BB_Mean]]="", "", tbl_OIL[[#This Row],[BB_Mean]]-(BB_Width*tbl_OIL[[#This Row],[BB_Stdev]]))</f>
        <v>11.452198206370813</v>
      </c>
      <c r="M47" s="46">
        <f>IF(ROW(tbl_OIL[[#This Row],[Adj Close]])=5, 0, $F47-$F46)</f>
        <v>0.38000000000000078</v>
      </c>
      <c r="N47" s="46">
        <f>MAX(tbl_OIL[[#This Row],[Move]],0)</f>
        <v>0.38000000000000078</v>
      </c>
      <c r="O47" s="46">
        <f>MAX(-tbl_OIL[[#This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0.12714285714285747</v>
      </c>
      <c r="Q47" s="46">
        <f ca="1">IF(ROW($O47)-5&lt;RSI_Periods, "", AVERAGE(INDIRECT(ADDRESS(ROW($O47)-RSI_Periods +1, MATCH("Downmove", Price_Header,0))): INDIRECT(ADDRESS(ROW($O47),MATCH("Downmove", Price_Header,0)))))</f>
        <v>0.12214285714285746</v>
      </c>
      <c r="R47" s="46">
        <f ca="1">IF(tbl_OIL[[#This Row],[Avg_Upmove]]="", "", tbl_OIL[[#This Row],[Avg_Upmove]]/tbl_OIL[[#This Row],[Avg_Downmove]])</f>
        <v>1.0409356725146199</v>
      </c>
      <c r="S47" s="10">
        <f ca="1">IF(ROW($N47)-4&lt;BB_Periods, "", _xlfn.STDEV.S(INDIRECT(ADDRESS(ROW($F47)-RSI_Periods +1, MATCH("Adj Close", Price_Header,0))): INDIRECT(ADDRESS(ROW($F47),MATCH("Adj Close", Price_Header,0)))))</f>
        <v>0.26890089681459328</v>
      </c>
    </row>
    <row r="48" spans="1:19" x14ac:dyDescent="0.35">
      <c r="A48" s="8">
        <v>44113</v>
      </c>
      <c r="B48" s="10">
        <v>12.35</v>
      </c>
      <c r="C48" s="10">
        <v>12.36</v>
      </c>
      <c r="D48" s="10">
        <v>12.19</v>
      </c>
      <c r="E48" s="10">
        <v>12.23</v>
      </c>
      <c r="F48" s="10">
        <v>12.23</v>
      </c>
      <c r="G48">
        <v>2100</v>
      </c>
      <c r="H48" s="10">
        <f>IF(tbl_OIL[[#This Row],[Date]]=$A$5, $F48, EMA_Beta*$H47 + (1-EMA_Beta)*$F48)</f>
        <v>12.096504803278972</v>
      </c>
      <c r="I48" s="46">
        <f ca="1">IF(tbl_OIL[[#This Row],[RS]]= "", "", 100-(100/(1+tbl_OIL[[#This Row],[RS]])))</f>
        <v>52.66272189349111</v>
      </c>
      <c r="J48" s="10">
        <f ca="1">IF(ROW($N48)-4&lt;BB_Periods, "", AVERAGE(INDIRECT(ADDRESS(ROW($F48)-RSI_Periods +1, MATCH("Adj Close", Price_Header,0))): INDIRECT(ADDRESS(ROW($F48),MATCH("Adj Close", Price_Header,0)))))</f>
        <v>12.002857142857142</v>
      </c>
      <c r="K48" s="10">
        <f ca="1">IF(tbl_OIL[[#This Row],[BB_Mean]]="", "", tbl_OIL[[#This Row],[BB_Mean]]+(BB_Width*tbl_OIL[[#This Row],[BB_Stdev]]))</f>
        <v>12.555246557974835</v>
      </c>
      <c r="L48" s="10">
        <f ca="1">IF(tbl_OIL[[#This Row],[BB_Mean]]="", "", tbl_OIL[[#This Row],[BB_Mean]]-(BB_Width*tbl_OIL[[#This Row],[BB_Stdev]]))</f>
        <v>11.450467727739449</v>
      </c>
      <c r="M48" s="46">
        <f>IF(ROW(tbl_OIL[[#This Row],[Adj Close]])=5, 0, $F48-$F47)</f>
        <v>-0.24000000000000021</v>
      </c>
      <c r="N48" s="46">
        <f>MAX(tbl_OIL[[#This Row],[Move]],0)</f>
        <v>0</v>
      </c>
      <c r="O48" s="46">
        <f>MAX(-tbl_OIL[[#This Row],[Move]],0)</f>
        <v>0.24000000000000021</v>
      </c>
      <c r="P48" s="46">
        <f ca="1">IF(ROW($N48)-5&lt;RSI_Periods, "", AVERAGE(INDIRECT(ADDRESS(ROW($N48)-RSI_Periods +1, MATCH("Upmove", Price_Header,0))): INDIRECT(ADDRESS(ROW($N48),MATCH("Upmove", Price_Header,0)))))</f>
        <v>0.12714285714285747</v>
      </c>
      <c r="Q48" s="46">
        <f ca="1">IF(ROW($O48)-5&lt;RSI_Periods, "", AVERAGE(INDIRECT(ADDRESS(ROW($O48)-RSI_Periods +1, MATCH("Downmove", Price_Header,0))): INDIRECT(ADDRESS(ROW($O48),MATCH("Downmove", Price_Header,0)))))</f>
        <v>0.11428571428571464</v>
      </c>
      <c r="R48" s="46">
        <f ca="1">IF(tbl_OIL[[#This Row],[Avg_Upmove]]="", "", tbl_OIL[[#This Row],[Avg_Upmove]]/tbl_OIL[[#This Row],[Avg_Downmove]])</f>
        <v>1.1124999999999994</v>
      </c>
      <c r="S48" s="10">
        <f ca="1">IF(ROW($N48)-4&lt;BB_Periods, "", _xlfn.STDEV.S(INDIRECT(ADDRESS(ROW($F48)-RSI_Periods +1, MATCH("Adj Close", Price_Header,0))): INDIRECT(ADDRESS(ROW($F48),MATCH("Adj Close", Price_Header,0)))))</f>
        <v>0.27619470755884651</v>
      </c>
    </row>
    <row r="49" spans="1:19" x14ac:dyDescent="0.35">
      <c r="A49" s="8">
        <v>44116</v>
      </c>
      <c r="B49" s="10">
        <v>12.15</v>
      </c>
      <c r="C49" s="10">
        <v>12.15</v>
      </c>
      <c r="D49" s="10">
        <v>11.81</v>
      </c>
      <c r="E49" s="10">
        <v>11.96</v>
      </c>
      <c r="F49" s="10">
        <v>11.96</v>
      </c>
      <c r="G49">
        <v>5100</v>
      </c>
      <c r="H49" s="10">
        <f>IF(tbl_OIL[[#This Row],[Date]]=$A$5, $F49, EMA_Beta*$H48 + (1-EMA_Beta)*$F49)</f>
        <v>12.082854322951075</v>
      </c>
      <c r="I49" s="46">
        <f ca="1">IF(tbl_OIL[[#This Row],[RS]]= "", "", 100-(100/(1+tbl_OIL[[#This Row],[RS]])))</f>
        <v>49.171270718232066</v>
      </c>
      <c r="J49" s="10">
        <f ca="1">IF(ROW($N49)-4&lt;BB_Periods, "", AVERAGE(INDIRECT(ADDRESS(ROW($F49)-RSI_Periods +1, MATCH("Adj Close", Price_Header,0))): INDIRECT(ADDRESS(ROW($F49),MATCH("Adj Close", Price_Header,0)))))</f>
        <v>11.998571428571426</v>
      </c>
      <c r="K49" s="10">
        <f ca="1">IF(tbl_OIL[[#This Row],[BB_Mean]]="", "", tbl_OIL[[#This Row],[BB_Mean]]+(BB_Width*tbl_OIL[[#This Row],[BB_Stdev]]))</f>
        <v>12.551318812400305</v>
      </c>
      <c r="L49" s="10">
        <f ca="1">IF(tbl_OIL[[#This Row],[BB_Mean]]="", "", tbl_OIL[[#This Row],[BB_Mean]]-(BB_Width*tbl_OIL[[#This Row],[BB_Stdev]]))</f>
        <v>11.445824044742546</v>
      </c>
      <c r="M49" s="46">
        <f>IF(ROW(tbl_OIL[[#This Row],[Adj Close]])=5, 0, $F49-$F48)</f>
        <v>-0.26999999999999957</v>
      </c>
      <c r="N49" s="46">
        <f>MAX(tbl_OIL[[#This Row],[Move]],0)</f>
        <v>0</v>
      </c>
      <c r="O49" s="46">
        <f>MAX(-tbl_OIL[[#This Row],[Move]],0)</f>
        <v>0.26999999999999957</v>
      </c>
      <c r="P49" s="46">
        <f ca="1">IF(ROW($N49)-5&lt;RSI_Periods, "", AVERAGE(INDIRECT(ADDRESS(ROW($N49)-RSI_Periods +1, MATCH("Upmove", Price_Header,0))): INDIRECT(ADDRESS(ROW($N49),MATCH("Upmove", Price_Header,0)))))</f>
        <v>0.12714285714285747</v>
      </c>
      <c r="Q49" s="46">
        <f ca="1">IF(ROW($O49)-5&lt;RSI_Periods, "", AVERAGE(INDIRECT(ADDRESS(ROW($O49)-RSI_Periods +1, MATCH("Downmove", Price_Header,0))): INDIRECT(ADDRESS(ROW($O49),MATCH("Downmove", Price_Header,0)))))</f>
        <v>0.13142857142857167</v>
      </c>
      <c r="R49" s="46">
        <f ca="1">IF(tbl_OIL[[#This Row],[Avg_Upmove]]="", "", tbl_OIL[[#This Row],[Avg_Upmove]]/tbl_OIL[[#This Row],[Avg_Downmove]])</f>
        <v>0.96739130434782683</v>
      </c>
      <c r="S49" s="10">
        <f ca="1">IF(ROW($N49)-4&lt;BB_Periods, "", _xlfn.STDEV.S(INDIRECT(ADDRESS(ROW($F49)-RSI_Periods +1, MATCH("Adj Close", Price_Header,0))): INDIRECT(ADDRESS(ROW($F49),MATCH("Adj Close", Price_Header,0)))))</f>
        <v>0.27637369191444006</v>
      </c>
    </row>
    <row r="50" spans="1:19" x14ac:dyDescent="0.35">
      <c r="A50" s="8">
        <v>44117</v>
      </c>
      <c r="B50" s="10">
        <v>12.15</v>
      </c>
      <c r="C50" s="10">
        <v>12.15</v>
      </c>
      <c r="D50" s="10">
        <v>12.15</v>
      </c>
      <c r="E50" s="10">
        <v>12.15</v>
      </c>
      <c r="F50" s="10">
        <v>12.15</v>
      </c>
      <c r="G50">
        <v>400</v>
      </c>
      <c r="H50" s="10">
        <f>IF(tbl_OIL[[#This Row],[Date]]=$A$5, $F50, EMA_Beta*$H49 + (1-EMA_Beta)*$F50)</f>
        <v>12.089568890655968</v>
      </c>
      <c r="I50" s="46">
        <f ca="1">IF(tbl_OIL[[#This Row],[RS]]= "", "", 100-(100/(1+tbl_OIL[[#This Row],[RS]])))</f>
        <v>52.673796791443856</v>
      </c>
      <c r="J50" s="10">
        <f ca="1">IF(ROW($N50)-4&lt;BB_Periods, "", AVERAGE(INDIRECT(ADDRESS(ROW($F50)-RSI_Periods +1, MATCH("Adj Close", Price_Header,0))): INDIRECT(ADDRESS(ROW($F50),MATCH("Adj Close", Price_Header,0)))))</f>
        <v>12.012857142857143</v>
      </c>
      <c r="K50" s="10">
        <f ca="1">IF(tbl_OIL[[#This Row],[BB_Mean]]="", "", tbl_OIL[[#This Row],[BB_Mean]]+(BB_Width*tbl_OIL[[#This Row],[BB_Stdev]]))</f>
        <v>12.570513147738486</v>
      </c>
      <c r="L50" s="10">
        <f ca="1">IF(tbl_OIL[[#This Row],[BB_Mean]]="", "", tbl_OIL[[#This Row],[BB_Mean]]-(BB_Width*tbl_OIL[[#This Row],[BB_Stdev]]))</f>
        <v>11.4552011379758</v>
      </c>
      <c r="M50" s="46">
        <f>IF(ROW(tbl_OIL[[#This Row],[Adj Close]])=5, 0, $F50-$F49)</f>
        <v>0.1899999999999995</v>
      </c>
      <c r="N50" s="46">
        <f>MAX(tbl_OIL[[#This Row],[Move]],0)</f>
        <v>0.1899999999999995</v>
      </c>
      <c r="O50" s="46">
        <f>MAX(-tbl_OIL[[#This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0.14071428571428601</v>
      </c>
      <c r="Q50" s="46">
        <f ca="1">IF(ROW($O50)-5&lt;RSI_Periods, "", AVERAGE(INDIRECT(ADDRESS(ROW($O50)-RSI_Periods +1, MATCH("Downmove", Price_Header,0))): INDIRECT(ADDRESS(ROW($O50),MATCH("Downmove", Price_Header,0)))))</f>
        <v>0.12642857142857164</v>
      </c>
      <c r="R50" s="46">
        <f ca="1">IF(tbl_OIL[[#This Row],[Avg_Upmove]]="", "", tbl_OIL[[#This Row],[Avg_Upmove]]/tbl_OIL[[#This Row],[Avg_Downmove]])</f>
        <v>1.1129943502824864</v>
      </c>
      <c r="S50" s="10">
        <f ca="1">IF(ROW($N50)-4&lt;BB_Periods, "", _xlfn.STDEV.S(INDIRECT(ADDRESS(ROW($F50)-RSI_Periods +1, MATCH("Adj Close", Price_Header,0))): INDIRECT(ADDRESS(ROW($F50),MATCH("Adj Close", Price_Header,0)))))</f>
        <v>0.27882800244067163</v>
      </c>
    </row>
    <row r="51" spans="1:19" x14ac:dyDescent="0.35">
      <c r="A51" s="8">
        <v>44118</v>
      </c>
      <c r="B51" s="10">
        <v>12.25</v>
      </c>
      <c r="C51" s="10">
        <v>12.35</v>
      </c>
      <c r="D51" s="10">
        <v>12.25</v>
      </c>
      <c r="E51" s="10">
        <v>12.32</v>
      </c>
      <c r="F51" s="10">
        <v>12.32</v>
      </c>
      <c r="G51">
        <v>7200</v>
      </c>
      <c r="H51" s="10">
        <f>IF(tbl_OIL[[#This Row],[Date]]=$A$5, $F51, EMA_Beta*$H50 + (1-EMA_Beta)*$F51)</f>
        <v>12.112612001590371</v>
      </c>
      <c r="I51" s="46">
        <f ca="1">IF(tbl_OIL[[#This Row],[RS]]= "", "", 100-(100/(1+tbl_OIL[[#This Row],[RS]])))</f>
        <v>52.546916890080418</v>
      </c>
      <c r="J51" s="10">
        <f ca="1">IF(ROW($N51)-4&lt;BB_Periods, "", AVERAGE(INDIRECT(ADDRESS(ROW($F51)-RSI_Periods +1, MATCH("Adj Close", Price_Header,0))): INDIRECT(ADDRESS(ROW($F51),MATCH("Adj Close", Price_Header,0)))))</f>
        <v>12.026428571428571</v>
      </c>
      <c r="K51" s="10">
        <f ca="1">IF(tbl_OIL[[#This Row],[BB_Mean]]="", "", tbl_OIL[[#This Row],[BB_Mean]]+(BB_Width*tbl_OIL[[#This Row],[BB_Stdev]]))</f>
        <v>12.605212822070561</v>
      </c>
      <c r="L51" s="10">
        <f ca="1">IF(tbl_OIL[[#This Row],[BB_Mean]]="", "", tbl_OIL[[#This Row],[BB_Mean]]-(BB_Width*tbl_OIL[[#This Row],[BB_Stdev]]))</f>
        <v>11.447644320786582</v>
      </c>
      <c r="M51" s="46">
        <f>IF(ROW(tbl_OIL[[#This Row],[Adj Close]])=5, 0, $F51-$F50)</f>
        <v>0.16999999999999993</v>
      </c>
      <c r="N51" s="46">
        <f>MAX(tbl_OIL[[#This Row],[Move]],0)</f>
        <v>0.16999999999999993</v>
      </c>
      <c r="O51" s="46">
        <f>MAX(-tbl_OIL[[#This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0.14000000000000018</v>
      </c>
      <c r="Q51" s="46">
        <f ca="1">IF(ROW($O51)-5&lt;RSI_Periods, "", AVERAGE(INDIRECT(ADDRESS(ROW($O51)-RSI_Periods +1, MATCH("Downmove", Price_Header,0))): INDIRECT(ADDRESS(ROW($O51),MATCH("Downmove", Price_Header,0)))))</f>
        <v>0.12642857142857164</v>
      </c>
      <c r="R51" s="46">
        <f ca="1">IF(tbl_OIL[[#This Row],[Avg_Upmove]]="", "", tbl_OIL[[#This Row],[Avg_Upmove]]/tbl_OIL[[#This Row],[Avg_Downmove]])</f>
        <v>1.1073446327683611</v>
      </c>
      <c r="S51" s="10">
        <f ca="1">IF(ROW($N51)-4&lt;BB_Periods, "", _xlfn.STDEV.S(INDIRECT(ADDRESS(ROW($F51)-RSI_Periods +1, MATCH("Adj Close", Price_Header,0))): INDIRECT(ADDRESS(ROW($F51),MATCH("Adj Close", Price_Header,0)))))</f>
        <v>0.28939212532099495</v>
      </c>
    </row>
    <row r="52" spans="1:19" x14ac:dyDescent="0.35">
      <c r="A52" s="8">
        <v>44119</v>
      </c>
      <c r="B52" s="10">
        <v>11.91</v>
      </c>
      <c r="C52" s="10">
        <v>12.31</v>
      </c>
      <c r="D52" s="10">
        <v>11.91</v>
      </c>
      <c r="E52" s="10">
        <v>12.31</v>
      </c>
      <c r="F52" s="10">
        <v>12.31</v>
      </c>
      <c r="G52">
        <v>2400</v>
      </c>
      <c r="H52" s="10">
        <f>IF(tbl_OIL[[#This Row],[Date]]=$A$5, $F52, EMA_Beta*$H51 + (1-EMA_Beta)*$F52)</f>
        <v>12.132350801431334</v>
      </c>
      <c r="I52" s="46">
        <f ca="1">IF(tbl_OIL[[#This Row],[RS]]= "", "", 100-(100/(1+tbl_OIL[[#This Row],[RS]])))</f>
        <v>53.551912568306001</v>
      </c>
      <c r="J52" s="10">
        <f ca="1">IF(ROW($N52)-4&lt;BB_Periods, "", AVERAGE(INDIRECT(ADDRESS(ROW($F52)-RSI_Periods +1, MATCH("Adj Close", Price_Header,0))): INDIRECT(ADDRESS(ROW($F52),MATCH("Adj Close", Price_Header,0)))))</f>
        <v>12.045</v>
      </c>
      <c r="K52" s="10">
        <f ca="1">IF(tbl_OIL[[#This Row],[BB_Mean]]="", "", tbl_OIL[[#This Row],[BB_Mean]]+(BB_Width*tbl_OIL[[#This Row],[BB_Stdev]]))</f>
        <v>12.643395289985579</v>
      </c>
      <c r="L52" s="10">
        <f ca="1">IF(tbl_OIL[[#This Row],[BB_Mean]]="", "", tbl_OIL[[#This Row],[BB_Mean]]-(BB_Width*tbl_OIL[[#This Row],[BB_Stdev]]))</f>
        <v>11.446604710014421</v>
      </c>
      <c r="M52" s="46">
        <f>IF(ROW(tbl_OIL[[#This Row],[Adj Close]])=5, 0, $F52-$F51)</f>
        <v>-9.9999999999997868E-3</v>
      </c>
      <c r="N52" s="46">
        <f>MAX(tbl_OIL[[#This Row],[Move]],0)</f>
        <v>0</v>
      </c>
      <c r="O52" s="46">
        <f>MAX(-tbl_OIL[[#This Row],[Move]],0)</f>
        <v>9.9999999999997868E-3</v>
      </c>
      <c r="P52" s="46">
        <f ca="1">IF(ROW($N52)-5&lt;RSI_Periods, "", AVERAGE(INDIRECT(ADDRESS(ROW($N52)-RSI_Periods +1, MATCH("Upmove", Price_Header,0))): INDIRECT(ADDRESS(ROW($N52),MATCH("Upmove", Price_Header,0)))))</f>
        <v>0.14000000000000018</v>
      </c>
      <c r="Q52" s="46">
        <f ca="1">IF(ROW($O52)-5&lt;RSI_Periods, "", AVERAGE(INDIRECT(ADDRESS(ROW($O52)-RSI_Periods +1, MATCH("Downmove", Price_Header,0))): INDIRECT(ADDRESS(ROW($O52),MATCH("Downmove", Price_Header,0)))))</f>
        <v>0.12142857142857164</v>
      </c>
      <c r="R52" s="46">
        <f ca="1">IF(tbl_OIL[[#This Row],[Avg_Upmove]]="", "", tbl_OIL[[#This Row],[Avg_Upmove]]/tbl_OIL[[#This Row],[Avg_Downmove]])</f>
        <v>1.1529411764705877</v>
      </c>
      <c r="S52" s="10">
        <f ca="1">IF(ROW($N52)-4&lt;BB_Periods, "", _xlfn.STDEV.S(INDIRECT(ADDRESS(ROW($F52)-RSI_Periods +1, MATCH("Adj Close", Price_Header,0))): INDIRECT(ADDRESS(ROW($F52),MATCH("Adj Close", Price_Header,0)))))</f>
        <v>0.29919764499278906</v>
      </c>
    </row>
    <row r="53" spans="1:19" x14ac:dyDescent="0.35">
      <c r="A53" s="8">
        <v>44120</v>
      </c>
      <c r="B53" s="10">
        <v>12.26</v>
      </c>
      <c r="C53" s="10">
        <v>12.28</v>
      </c>
      <c r="D53" s="10">
        <v>12.22</v>
      </c>
      <c r="E53" s="10">
        <v>12.23</v>
      </c>
      <c r="F53" s="10">
        <v>12.23</v>
      </c>
      <c r="G53">
        <v>1200</v>
      </c>
      <c r="H53" s="10">
        <f>IF(tbl_OIL[[#This Row],[Date]]=$A$5, $F53, EMA_Beta*$H52 + (1-EMA_Beta)*$F53)</f>
        <v>12.142115721288199</v>
      </c>
      <c r="I53" s="46">
        <f ca="1">IF(tbl_OIL[[#This Row],[RS]]= "", "", 100-(100/(1+tbl_OIL[[#This Row],[RS]])))</f>
        <v>50.964187327823694</v>
      </c>
      <c r="J53" s="10">
        <f ca="1">IF(ROW($N53)-4&lt;BB_Periods, "", AVERAGE(INDIRECT(ADDRESS(ROW($F53)-RSI_Periods +1, MATCH("Adj Close", Price_Header,0))): INDIRECT(ADDRESS(ROW($F53),MATCH("Adj Close", Price_Header,0)))))</f>
        <v>12.049999999999999</v>
      </c>
      <c r="K53" s="10">
        <f ca="1">IF(tbl_OIL[[#This Row],[BB_Mean]]="", "", tbl_OIL[[#This Row],[BB_Mean]]+(BB_Width*tbl_OIL[[#This Row],[BB_Stdev]]))</f>
        <v>12.653681016125875</v>
      </c>
      <c r="L53" s="10">
        <f ca="1">IF(tbl_OIL[[#This Row],[BB_Mean]]="", "", tbl_OIL[[#This Row],[BB_Mean]]-(BB_Width*tbl_OIL[[#This Row],[BB_Stdev]]))</f>
        <v>11.446318983874123</v>
      </c>
      <c r="M53" s="46">
        <f>IF(ROW(tbl_OIL[[#This Row],[Adj Close]])=5, 0, $F53-$F52)</f>
        <v>-8.0000000000000071E-2</v>
      </c>
      <c r="N53" s="46">
        <f>MAX(tbl_OIL[[#This Row],[Move]],0)</f>
        <v>0</v>
      </c>
      <c r="O53" s="46">
        <f>MAX(-tbl_OIL[[#This Row],[Move]],0)</f>
        <v>8.0000000000000071E-2</v>
      </c>
      <c r="P53" s="46">
        <f ca="1">IF(ROW($N53)-5&lt;RSI_Periods, "", AVERAGE(INDIRECT(ADDRESS(ROW($N53)-RSI_Periods +1, MATCH("Upmove", Price_Header,0))): INDIRECT(ADDRESS(ROW($N53),MATCH("Upmove", Price_Header,0)))))</f>
        <v>0.13214285714285737</v>
      </c>
      <c r="Q53" s="46">
        <f ca="1">IF(ROW($O53)-5&lt;RSI_Periods, "", AVERAGE(INDIRECT(ADDRESS(ROW($O53)-RSI_Periods +1, MATCH("Downmove", Price_Header,0))): INDIRECT(ADDRESS(ROW($O53),MATCH("Downmove", Price_Header,0)))))</f>
        <v>0.12714285714285736</v>
      </c>
      <c r="R53" s="46">
        <f ca="1">IF(tbl_OIL[[#This Row],[Avg_Upmove]]="", "", tbl_OIL[[#This Row],[Avg_Upmove]]/tbl_OIL[[#This Row],[Avg_Downmove]])</f>
        <v>1.0393258426966292</v>
      </c>
      <c r="S53" s="10">
        <f ca="1">IF(ROW($N53)-4&lt;BB_Periods, "", _xlfn.STDEV.S(INDIRECT(ADDRESS(ROW($F53)-RSI_Periods +1, MATCH("Adj Close", Price_Header,0))): INDIRECT(ADDRESS(ROW($F53),MATCH("Adj Close", Price_Header,0)))))</f>
        <v>0.30184050806293805</v>
      </c>
    </row>
    <row r="54" spans="1:19" x14ac:dyDescent="0.35">
      <c r="A54" s="8">
        <v>44123</v>
      </c>
      <c r="B54" s="10">
        <v>12.25</v>
      </c>
      <c r="C54" s="10">
        <v>12.3</v>
      </c>
      <c r="D54" s="10">
        <v>12.21</v>
      </c>
      <c r="E54" s="10">
        <v>12.21</v>
      </c>
      <c r="F54" s="10">
        <v>12.21</v>
      </c>
      <c r="G54">
        <v>3500</v>
      </c>
      <c r="H54" s="10">
        <f>IF(tbl_OIL[[#This Row],[Date]]=$A$5, $F54, EMA_Beta*$H53 + (1-EMA_Beta)*$F54)</f>
        <v>12.14890414915938</v>
      </c>
      <c r="I54" s="46">
        <f ca="1">IF(tbl_OIL[[#This Row],[RS]]= "", "", 100-(100/(1+tbl_OIL[[#This Row],[RS]])))</f>
        <v>56.574923547400623</v>
      </c>
      <c r="J54" s="10">
        <f ca="1">IF(ROW($N54)-4&lt;BB_Periods, "", AVERAGE(INDIRECT(ADDRESS(ROW($F54)-RSI_Periods +1, MATCH("Adj Close", Price_Header,0))): INDIRECT(ADDRESS(ROW($F54),MATCH("Adj Close", Price_Header,0)))))</f>
        <v>12.080714285714285</v>
      </c>
      <c r="K54" s="10">
        <f ca="1">IF(tbl_OIL[[#This Row],[BB_Mean]]="", "", tbl_OIL[[#This Row],[BB_Mean]]+(BB_Width*tbl_OIL[[#This Row],[BB_Stdev]]))</f>
        <v>12.668773115095485</v>
      </c>
      <c r="L54" s="10">
        <f ca="1">IF(tbl_OIL[[#This Row],[BB_Mean]]="", "", tbl_OIL[[#This Row],[BB_Mean]]-(BB_Width*tbl_OIL[[#This Row],[BB_Stdev]]))</f>
        <v>11.492655456333084</v>
      </c>
      <c r="M54" s="46">
        <f>IF(ROW(tbl_OIL[[#This Row],[Adj Close]])=5, 0, $F54-$F53)</f>
        <v>-1.9999999999999574E-2</v>
      </c>
      <c r="N54" s="46">
        <f>MAX(tbl_OIL[[#This Row],[Move]],0)</f>
        <v>0</v>
      </c>
      <c r="O54" s="46">
        <f>MAX(-tbl_OIL[[#This Row],[Move]],0)</f>
        <v>1.9999999999999574E-2</v>
      </c>
      <c r="P54" s="46">
        <f ca="1">IF(ROW($N54)-5&lt;RSI_Periods, "", AVERAGE(INDIRECT(ADDRESS(ROW($N54)-RSI_Periods +1, MATCH("Upmove", Price_Header,0))): INDIRECT(ADDRESS(ROW($N54),MATCH("Upmove", Price_Header,0)))))</f>
        <v>0.13214285714285737</v>
      </c>
      <c r="Q54" s="46">
        <f ca="1">IF(ROW($O54)-5&lt;RSI_Periods, "", AVERAGE(INDIRECT(ADDRESS(ROW($O54)-RSI_Periods +1, MATCH("Downmove", Price_Header,0))): INDIRECT(ADDRESS(ROW($O54),MATCH("Downmove", Price_Header,0)))))</f>
        <v>0.10142857142857155</v>
      </c>
      <c r="R54" s="46">
        <f ca="1">IF(tbl_OIL[[#This Row],[Avg_Upmove]]="", "", tbl_OIL[[#This Row],[Avg_Upmove]]/tbl_OIL[[#This Row],[Avg_Downmove]])</f>
        <v>1.3028169014084514</v>
      </c>
      <c r="S54" s="10">
        <f ca="1">IF(ROW($N54)-4&lt;BB_Periods, "", _xlfn.STDEV.S(INDIRECT(ADDRESS(ROW($F54)-RSI_Periods +1, MATCH("Adj Close", Price_Header,0))): INDIRECT(ADDRESS(ROW($F54),MATCH("Adj Close", Price_Header,0)))))</f>
        <v>0.29402941469060018</v>
      </c>
    </row>
    <row r="55" spans="1:19" x14ac:dyDescent="0.35">
      <c r="A55" s="8">
        <v>44124</v>
      </c>
      <c r="B55" s="10">
        <v>12.16</v>
      </c>
      <c r="C55" s="10">
        <v>12.38</v>
      </c>
      <c r="D55" s="10">
        <v>12.16</v>
      </c>
      <c r="E55" s="10">
        <v>12.38</v>
      </c>
      <c r="F55" s="10">
        <v>12.38</v>
      </c>
      <c r="G55">
        <v>1300</v>
      </c>
      <c r="H55" s="10">
        <f>IF(tbl_OIL[[#This Row],[Date]]=$A$5, $F55, EMA_Beta*$H54 + (1-EMA_Beta)*$F55)</f>
        <v>12.172013734243441</v>
      </c>
      <c r="I55" s="46">
        <f ca="1">IF(tbl_OIL[[#This Row],[RS]]= "", "", 100-(100/(1+tbl_OIL[[#This Row],[RS]])))</f>
        <v>55.205047318611989</v>
      </c>
      <c r="J55" s="10">
        <f ca="1">IF(ROW($N55)-4&lt;BB_Periods, "", AVERAGE(INDIRECT(ADDRESS(ROW($F55)-RSI_Periods +1, MATCH("Adj Close", Price_Header,0))): INDIRECT(ADDRESS(ROW($F55),MATCH("Adj Close", Price_Header,0)))))</f>
        <v>12.104285714285714</v>
      </c>
      <c r="K55" s="10">
        <f ca="1">IF(tbl_OIL[[#This Row],[BB_Mean]]="", "", tbl_OIL[[#This Row],[BB_Mean]]+(BB_Width*tbl_OIL[[#This Row],[BB_Stdev]]))</f>
        <v>12.713128969886128</v>
      </c>
      <c r="L55" s="10">
        <f ca="1">IF(tbl_OIL[[#This Row],[BB_Mean]]="", "", tbl_OIL[[#This Row],[BB_Mean]]-(BB_Width*tbl_OIL[[#This Row],[BB_Stdev]]))</f>
        <v>11.4954424586853</v>
      </c>
      <c r="M55" s="46">
        <f>IF(ROW(tbl_OIL[[#This Row],[Adj Close]])=5, 0, $F55-$F54)</f>
        <v>0.16999999999999993</v>
      </c>
      <c r="N55" s="46">
        <f>MAX(tbl_OIL[[#This Row],[Move]],0)</f>
        <v>0.16999999999999993</v>
      </c>
      <c r="O55" s="46">
        <f>MAX(-tbl_OIL[[#This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0.12500000000000014</v>
      </c>
      <c r="Q55" s="46">
        <f ca="1">IF(ROW($O55)-5&lt;RSI_Periods, "", AVERAGE(INDIRECT(ADDRESS(ROW($O55)-RSI_Periods +1, MATCH("Downmove", Price_Header,0))): INDIRECT(ADDRESS(ROW($O55),MATCH("Downmove", Price_Header,0)))))</f>
        <v>0.10142857142857155</v>
      </c>
      <c r="R55" s="46">
        <f ca="1">IF(tbl_OIL[[#This Row],[Avg_Upmove]]="", "", tbl_OIL[[#This Row],[Avg_Upmove]]/tbl_OIL[[#This Row],[Avg_Downmove]])</f>
        <v>1.232394366197183</v>
      </c>
      <c r="S55" s="10">
        <f ca="1">IF(ROW($N55)-4&lt;BB_Periods, "", _xlfn.STDEV.S(INDIRECT(ADDRESS(ROW($F55)-RSI_Periods +1, MATCH("Adj Close", Price_Header,0))): INDIRECT(ADDRESS(ROW($F55),MATCH("Adj Close", Price_Header,0)))))</f>
        <v>0.30442162780020693</v>
      </c>
    </row>
    <row r="56" spans="1:19" x14ac:dyDescent="0.35">
      <c r="A56" s="8">
        <v>44125</v>
      </c>
      <c r="B56" s="10">
        <v>12.22</v>
      </c>
      <c r="C56" s="10">
        <v>12.22</v>
      </c>
      <c r="D56" s="10">
        <v>11.96</v>
      </c>
      <c r="E56" s="10">
        <v>11.98</v>
      </c>
      <c r="F56" s="10">
        <v>11.98</v>
      </c>
      <c r="G56">
        <v>9600</v>
      </c>
      <c r="H56" s="10">
        <f>IF(tbl_OIL[[#This Row],[Date]]=$A$5, $F56, EMA_Beta*$H55 + (1-EMA_Beta)*$F56)</f>
        <v>12.152812360819098</v>
      </c>
      <c r="I56" s="46">
        <f ca="1">IF(tbl_OIL[[#This Row],[RS]]= "", "", 100-(100/(1+tbl_OIL[[#This Row],[RS]])))</f>
        <v>54.347826086956537</v>
      </c>
      <c r="J56" s="10">
        <f ca="1">IF(ROW($N56)-4&lt;BB_Periods, "", AVERAGE(INDIRECT(ADDRESS(ROW($F56)-RSI_Periods +1, MATCH("Adj Close", Price_Header,0))): INDIRECT(ADDRESS(ROW($F56),MATCH("Adj Close", Price_Header,0)))))</f>
        <v>12.124285714285714</v>
      </c>
      <c r="K56" s="10">
        <f ca="1">IF(tbl_OIL[[#This Row],[BB_Mean]]="", "", tbl_OIL[[#This Row],[BB_Mean]]+(BB_Width*tbl_OIL[[#This Row],[BB_Stdev]]))</f>
        <v>12.692993522767866</v>
      </c>
      <c r="L56" s="10">
        <f ca="1">IF(tbl_OIL[[#This Row],[BB_Mean]]="", "", tbl_OIL[[#This Row],[BB_Mean]]-(BB_Width*tbl_OIL[[#This Row],[BB_Stdev]]))</f>
        <v>11.555577905803561</v>
      </c>
      <c r="M56" s="46">
        <f>IF(ROW(tbl_OIL[[#This Row],[Adj Close]])=5, 0, $F56-$F55)</f>
        <v>-0.40000000000000036</v>
      </c>
      <c r="N56" s="46">
        <f>MAX(tbl_OIL[[#This Row],[Move]],0)</f>
        <v>0</v>
      </c>
      <c r="O56" s="46">
        <f>MAX(-tbl_OIL[[#This Row],[Move]],0)</f>
        <v>0.40000000000000036</v>
      </c>
      <c r="P56" s="46">
        <f ca="1">IF(ROW($N56)-5&lt;RSI_Periods, "", AVERAGE(INDIRECT(ADDRESS(ROW($N56)-RSI_Periods +1, MATCH("Upmove", Price_Header,0))): INDIRECT(ADDRESS(ROW($N56),MATCH("Upmove", Price_Header,0)))))</f>
        <v>0.12500000000000014</v>
      </c>
      <c r="Q56" s="46">
        <f ca="1">IF(ROW($O56)-5&lt;RSI_Periods, "", AVERAGE(INDIRECT(ADDRESS(ROW($O56)-RSI_Periods +1, MATCH("Downmove", Price_Header,0))): INDIRECT(ADDRESS(ROW($O56),MATCH("Downmove", Price_Header,0)))))</f>
        <v>0.10500000000000005</v>
      </c>
      <c r="R56" s="46">
        <f ca="1">IF(tbl_OIL[[#This Row],[Avg_Upmove]]="", "", tbl_OIL[[#This Row],[Avg_Upmove]]/tbl_OIL[[#This Row],[Avg_Downmove]])</f>
        <v>1.1904761904761911</v>
      </c>
      <c r="S56" s="10">
        <f ca="1">IF(ROW($N56)-4&lt;BB_Periods, "", _xlfn.STDEV.S(INDIRECT(ADDRESS(ROW($F56)-RSI_Periods +1, MATCH("Adj Close", Price_Header,0))): INDIRECT(ADDRESS(ROW($F56),MATCH("Adj Close", Price_Header,0)))))</f>
        <v>0.28435390424107604</v>
      </c>
    </row>
    <row r="57" spans="1:19" x14ac:dyDescent="0.35">
      <c r="A57" s="8">
        <v>44126</v>
      </c>
      <c r="B57" s="10">
        <v>12.1</v>
      </c>
      <c r="C57" s="10">
        <v>12.18</v>
      </c>
      <c r="D57" s="10">
        <v>12.1</v>
      </c>
      <c r="E57" s="10">
        <v>12.14</v>
      </c>
      <c r="F57" s="10">
        <v>12.14</v>
      </c>
      <c r="G57">
        <v>500</v>
      </c>
      <c r="H57" s="10">
        <f>IF(tbl_OIL[[#This Row],[Date]]=$A$5, $F57, EMA_Beta*$H56 + (1-EMA_Beta)*$F57)</f>
        <v>12.15153112473719</v>
      </c>
      <c r="I57" s="46">
        <f ca="1">IF(tbl_OIL[[#This Row],[RS]]= "", "", 100-(100/(1+tbl_OIL[[#This Row],[RS]])))</f>
        <v>64.309764309764319</v>
      </c>
      <c r="J57" s="10">
        <f ca="1">IF(ROW($N57)-4&lt;BB_Periods, "", AVERAGE(INDIRECT(ADDRESS(ROW($F57)-RSI_Periods +1, MATCH("Adj Close", Price_Header,0))): INDIRECT(ADDRESS(ROW($F57),MATCH("Adj Close", Price_Header,0)))))</f>
        <v>12.184999999999999</v>
      </c>
      <c r="K57" s="10">
        <f ca="1">IF(tbl_OIL[[#This Row],[BB_Mean]]="", "", tbl_OIL[[#This Row],[BB_Mean]]+(BB_Width*tbl_OIL[[#This Row],[BB_Stdev]]))</f>
        <v>12.49071479921904</v>
      </c>
      <c r="L57" s="10">
        <f ca="1">IF(tbl_OIL[[#This Row],[BB_Mean]]="", "", tbl_OIL[[#This Row],[BB_Mean]]-(BB_Width*tbl_OIL[[#This Row],[BB_Stdev]]))</f>
        <v>11.879285200780958</v>
      </c>
      <c r="M57" s="46">
        <f>IF(ROW(tbl_OIL[[#This Row],[Adj Close]])=5, 0, $F57-$F56)</f>
        <v>0.16000000000000014</v>
      </c>
      <c r="N57" s="46">
        <f>MAX(tbl_OIL[[#This Row],[Move]],0)</f>
        <v>0.16000000000000014</v>
      </c>
      <c r="O57" s="46">
        <f>MAX(-tbl_OIL[[#This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0.13642857142857157</v>
      </c>
      <c r="Q57" s="46">
        <f ca="1">IF(ROW($O57)-5&lt;RSI_Periods, "", AVERAGE(INDIRECT(ADDRESS(ROW($O57)-RSI_Periods +1, MATCH("Downmove", Price_Header,0))): INDIRECT(ADDRESS(ROW($O57),MATCH("Downmove", Price_Header,0)))))</f>
        <v>7.5714285714285748E-2</v>
      </c>
      <c r="R57" s="46">
        <f ca="1">IF(tbl_OIL[[#This Row],[Avg_Upmove]]="", "", tbl_OIL[[#This Row],[Avg_Upmove]]/tbl_OIL[[#This Row],[Avg_Downmove]])</f>
        <v>1.8018867924528312</v>
      </c>
      <c r="S57" s="10">
        <f ca="1">IF(ROW($N57)-4&lt;BB_Periods, "", _xlfn.STDEV.S(INDIRECT(ADDRESS(ROW($F57)-RSI_Periods +1, MATCH("Adj Close", Price_Header,0))): INDIRECT(ADDRESS(ROW($F57),MATCH("Adj Close", Price_Header,0)))))</f>
        <v>0.15285739960952049</v>
      </c>
    </row>
    <row r="58" spans="1:19" x14ac:dyDescent="0.35">
      <c r="A58" s="8">
        <v>44127</v>
      </c>
      <c r="B58" s="10">
        <v>11.92</v>
      </c>
      <c r="C58" s="10">
        <v>11.92</v>
      </c>
      <c r="D58" s="10">
        <v>11.86</v>
      </c>
      <c r="E58" s="10">
        <v>11.87</v>
      </c>
      <c r="F58" s="10">
        <v>11.87</v>
      </c>
      <c r="G58">
        <v>2100</v>
      </c>
      <c r="H58" s="10">
        <f>IF(tbl_OIL[[#This Row],[Date]]=$A$5, $F58, EMA_Beta*$H57 + (1-EMA_Beta)*$F58)</f>
        <v>12.123378012263471</v>
      </c>
      <c r="I58" s="46">
        <f ca="1">IF(tbl_OIL[[#This Row],[RS]]= "", "", 100-(100/(1+tbl_OIL[[#This Row],[RS]])))</f>
        <v>47.637795275590534</v>
      </c>
      <c r="J58" s="10">
        <f ca="1">IF(ROW($N58)-4&lt;BB_Periods, "", AVERAGE(INDIRECT(ADDRESS(ROW($F58)-RSI_Periods +1, MATCH("Adj Close", Price_Header,0))): INDIRECT(ADDRESS(ROW($F58),MATCH("Adj Close", Price_Header,0)))))</f>
        <v>12.17642857142857</v>
      </c>
      <c r="K58" s="10">
        <f ca="1">IF(tbl_OIL[[#This Row],[BB_Mean]]="", "", tbl_OIL[[#This Row],[BB_Mean]]+(BB_Width*tbl_OIL[[#This Row],[BB_Stdev]]))</f>
        <v>12.511056460546952</v>
      </c>
      <c r="L58" s="10">
        <f ca="1">IF(tbl_OIL[[#This Row],[BB_Mean]]="", "", tbl_OIL[[#This Row],[BB_Mean]]-(BB_Width*tbl_OIL[[#This Row],[BB_Stdev]]))</f>
        <v>11.841800682310188</v>
      </c>
      <c r="M58" s="46">
        <f>IF(ROW(tbl_OIL[[#This Row],[Adj Close]])=5, 0, $F58-$F57)</f>
        <v>-0.27000000000000135</v>
      </c>
      <c r="N58" s="46">
        <f>MAX(tbl_OIL[[#This Row],[Move]],0)</f>
        <v>0</v>
      </c>
      <c r="O58" s="46">
        <f>MAX(-tbl_OIL[[#This Row],[Move]],0)</f>
        <v>0.27000000000000135</v>
      </c>
      <c r="P58" s="46">
        <f ca="1">IF(ROW($N58)-5&lt;RSI_Periods, "", AVERAGE(INDIRECT(ADDRESS(ROW($N58)-RSI_Periods +1, MATCH("Upmove", Price_Header,0))): INDIRECT(ADDRESS(ROW($N58),MATCH("Upmove", Price_Header,0)))))</f>
        <v>8.6428571428571493E-2</v>
      </c>
      <c r="Q58" s="46">
        <f ca="1">IF(ROW($O58)-5&lt;RSI_Periods, "", AVERAGE(INDIRECT(ADDRESS(ROW($O58)-RSI_Periods +1, MATCH("Downmove", Price_Header,0))): INDIRECT(ADDRESS(ROW($O58),MATCH("Downmove", Price_Header,0)))))</f>
        <v>9.5000000000000126E-2</v>
      </c>
      <c r="R58" s="46">
        <f ca="1">IF(tbl_OIL[[#This Row],[Avg_Upmove]]="", "", tbl_OIL[[#This Row],[Avg_Upmove]]/tbl_OIL[[#This Row],[Avg_Downmove]])</f>
        <v>0.90977443609022501</v>
      </c>
      <c r="S58" s="10">
        <f ca="1">IF(ROW($N58)-4&lt;BB_Periods, "", _xlfn.STDEV.S(INDIRECT(ADDRESS(ROW($F58)-RSI_Periods +1, MATCH("Adj Close", Price_Header,0))): INDIRECT(ADDRESS(ROW($F58),MATCH("Adj Close", Price_Header,0)))))</f>
        <v>0.16731394455919121</v>
      </c>
    </row>
    <row r="59" spans="1:19" x14ac:dyDescent="0.35">
      <c r="A59" s="8">
        <v>44130</v>
      </c>
      <c r="B59" s="10">
        <v>11.68</v>
      </c>
      <c r="C59" s="10">
        <v>11.68</v>
      </c>
      <c r="D59" s="10">
        <v>11.53</v>
      </c>
      <c r="E59" s="10">
        <v>11.56</v>
      </c>
      <c r="F59" s="10">
        <v>11.56</v>
      </c>
      <c r="G59">
        <v>4400</v>
      </c>
      <c r="H59" s="10">
        <f>IF(tbl_OIL[[#This Row],[Date]]=$A$5, $F59, EMA_Beta*$H58 + (1-EMA_Beta)*$F59)</f>
        <v>12.067040211037124</v>
      </c>
      <c r="I59" s="46">
        <f ca="1">IF(tbl_OIL[[#This Row],[RS]]= "", "", 100-(100/(1+tbl_OIL[[#This Row],[RS]])))</f>
        <v>39.483394833948338</v>
      </c>
      <c r="J59" s="10">
        <f ca="1">IF(ROW($N59)-4&lt;BB_Periods, "", AVERAGE(INDIRECT(ADDRESS(ROW($F59)-RSI_Periods +1, MATCH("Adj Close", Price_Header,0))): INDIRECT(ADDRESS(ROW($F59),MATCH("Adj Close", Price_Header,0)))))</f>
        <v>12.135714285714284</v>
      </c>
      <c r="K59" s="10">
        <f ca="1">IF(tbl_OIL[[#This Row],[BB_Mean]]="", "", tbl_OIL[[#This Row],[BB_Mean]]+(BB_Width*tbl_OIL[[#This Row],[BB_Stdev]]))</f>
        <v>12.605916486783261</v>
      </c>
      <c r="L59" s="10">
        <f ca="1">IF(tbl_OIL[[#This Row],[BB_Mean]]="", "", tbl_OIL[[#This Row],[BB_Mean]]-(BB_Width*tbl_OIL[[#This Row],[BB_Stdev]]))</f>
        <v>11.665512084645307</v>
      </c>
      <c r="M59" s="46">
        <f>IF(ROW(tbl_OIL[[#This Row],[Adj Close]])=5, 0, $F59-$F58)</f>
        <v>-0.30999999999999872</v>
      </c>
      <c r="N59" s="46">
        <f>MAX(tbl_OIL[[#This Row],[Move]],0)</f>
        <v>0</v>
      </c>
      <c r="O59" s="46">
        <f>MAX(-tbl_OIL[[#This Row],[Move]],0)</f>
        <v>0.30999999999999872</v>
      </c>
      <c r="P59" s="46">
        <f ca="1">IF(ROW($N59)-5&lt;RSI_Periods, "", AVERAGE(INDIRECT(ADDRESS(ROW($N59)-RSI_Periods +1, MATCH("Upmove", Price_Header,0))): INDIRECT(ADDRESS(ROW($N59),MATCH("Upmove", Price_Header,0)))))</f>
        <v>7.6428571428571443E-2</v>
      </c>
      <c r="Q59" s="46">
        <f ca="1">IF(ROW($O59)-5&lt;RSI_Periods, "", AVERAGE(INDIRECT(ADDRESS(ROW($O59)-RSI_Periods +1, MATCH("Downmove", Price_Header,0))): INDIRECT(ADDRESS(ROW($O59),MATCH("Downmove", Price_Header,0)))))</f>
        <v>0.11714285714285719</v>
      </c>
      <c r="R59" s="46">
        <f ca="1">IF(tbl_OIL[[#This Row],[Avg_Upmove]]="", "", tbl_OIL[[#This Row],[Avg_Upmove]]/tbl_OIL[[#This Row],[Avg_Downmove]])</f>
        <v>0.65243902439024382</v>
      </c>
      <c r="S59" s="10">
        <f ca="1">IF(ROW($N59)-4&lt;BB_Periods, "", _xlfn.STDEV.S(INDIRECT(ADDRESS(ROW($F59)-RSI_Periods +1, MATCH("Adj Close", Price_Header,0))): INDIRECT(ADDRESS(ROW($F59),MATCH("Adj Close", Price_Header,0)))))</f>
        <v>0.23510110053448824</v>
      </c>
    </row>
    <row r="60" spans="1:19" x14ac:dyDescent="0.35">
      <c r="A60" s="8">
        <v>44131</v>
      </c>
      <c r="B60" s="10">
        <v>11.75</v>
      </c>
      <c r="C60" s="10">
        <v>11.82</v>
      </c>
      <c r="D60" s="10">
        <v>11.75</v>
      </c>
      <c r="E60" s="10">
        <v>11.78</v>
      </c>
      <c r="F60" s="10">
        <v>11.78</v>
      </c>
      <c r="G60">
        <v>1800</v>
      </c>
      <c r="H60" s="10">
        <f>IF(tbl_OIL[[#This Row],[Date]]=$A$5, $F60, EMA_Beta*$H59 + (1-EMA_Beta)*$F60)</f>
        <v>12.03833618993341</v>
      </c>
      <c r="I60" s="46">
        <f ca="1">IF(tbl_OIL[[#This Row],[RS]]= "", "", 100-(100/(1+tbl_OIL[[#This Row],[RS]])))</f>
        <v>44.636678200692032</v>
      </c>
      <c r="J60" s="10">
        <f ca="1">IF(ROW($N60)-4&lt;BB_Periods, "", AVERAGE(INDIRECT(ADDRESS(ROW($F60)-RSI_Periods +1, MATCH("Adj Close", Price_Header,0))): INDIRECT(ADDRESS(ROW($F60),MATCH("Adj Close", Price_Header,0)))))</f>
        <v>12.113571428571429</v>
      </c>
      <c r="K60" s="10">
        <f ca="1">IF(tbl_OIL[[#This Row],[BB_Mean]]="", "", tbl_OIL[[#This Row],[BB_Mean]]+(BB_Width*tbl_OIL[[#This Row],[BB_Stdev]]))</f>
        <v>12.620787488912713</v>
      </c>
      <c r="L60" s="10">
        <f ca="1">IF(tbl_OIL[[#This Row],[BB_Mean]]="", "", tbl_OIL[[#This Row],[BB_Mean]]-(BB_Width*tbl_OIL[[#This Row],[BB_Stdev]]))</f>
        <v>11.606355368230146</v>
      </c>
      <c r="M60" s="46">
        <f>IF(ROW(tbl_OIL[[#This Row],[Adj Close]])=5, 0, $F60-$F59)</f>
        <v>0.21999999999999886</v>
      </c>
      <c r="N60" s="46">
        <f>MAX(tbl_OIL[[#This Row],[Move]],0)</f>
        <v>0.21999999999999886</v>
      </c>
      <c r="O60" s="46">
        <f>MAX(-tbl_OIL[[#This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9.2142857142857082E-2</v>
      </c>
      <c r="Q60" s="46">
        <f ca="1">IF(ROW($O60)-5&lt;RSI_Periods, "", AVERAGE(INDIRECT(ADDRESS(ROW($O60)-RSI_Periods +1, MATCH("Downmove", Price_Header,0))): INDIRECT(ADDRESS(ROW($O60),MATCH("Downmove", Price_Header,0)))))</f>
        <v>0.11428571428571425</v>
      </c>
      <c r="R60" s="46">
        <f ca="1">IF(tbl_OIL[[#This Row],[Avg_Upmove]]="", "", tbl_OIL[[#This Row],[Avg_Upmove]]/tbl_OIL[[#This Row],[Avg_Downmove]])</f>
        <v>0.80624999999999969</v>
      </c>
      <c r="S60" s="10">
        <f ca="1">IF(ROW($N60)-4&lt;BB_Periods, "", _xlfn.STDEV.S(INDIRECT(ADDRESS(ROW($F60)-RSI_Periods +1, MATCH("Adj Close", Price_Header,0))): INDIRECT(ADDRESS(ROW($F60),MATCH("Adj Close", Price_Header,0)))))</f>
        <v>0.25360803017064165</v>
      </c>
    </row>
    <row r="61" spans="1:19" x14ac:dyDescent="0.35">
      <c r="A61" s="8">
        <v>44132</v>
      </c>
      <c r="B61" s="10">
        <v>11.3</v>
      </c>
      <c r="C61" s="10">
        <v>11.3</v>
      </c>
      <c r="D61" s="10">
        <v>11.16</v>
      </c>
      <c r="E61" s="10">
        <v>11.22</v>
      </c>
      <c r="F61" s="10">
        <v>11.22</v>
      </c>
      <c r="G61">
        <v>8800</v>
      </c>
      <c r="H61" s="10">
        <f>IF(tbl_OIL[[#This Row],[Date]]=$A$5, $F61, EMA_Beta*$H60 + (1-EMA_Beta)*$F61)</f>
        <v>11.956502570940069</v>
      </c>
      <c r="I61" s="46">
        <f ca="1">IF(tbl_OIL[[#This Row],[RS]]= "", "", 100-(100/(1+tbl_OIL[[#This Row],[RS]])))</f>
        <v>29.641693811074902</v>
      </c>
      <c r="J61" s="10">
        <f ca="1">IF(ROW($N61)-4&lt;BB_Periods, "", AVERAGE(INDIRECT(ADDRESS(ROW($F61)-RSI_Periods +1, MATCH("Adj Close", Price_Header,0))): INDIRECT(ADDRESS(ROW($F61),MATCH("Adj Close", Price_Header,0)))))</f>
        <v>12.024285714285714</v>
      </c>
      <c r="K61" s="10">
        <f ca="1">IF(tbl_OIL[[#This Row],[BB_Mean]]="", "", tbl_OIL[[#This Row],[BB_Mean]]+(BB_Width*tbl_OIL[[#This Row],[BB_Stdev]]))</f>
        <v>12.679664138648981</v>
      </c>
      <c r="L61" s="10">
        <f ca="1">IF(tbl_OIL[[#This Row],[BB_Mean]]="", "", tbl_OIL[[#This Row],[BB_Mean]]-(BB_Width*tbl_OIL[[#This Row],[BB_Stdev]]))</f>
        <v>11.368907289922447</v>
      </c>
      <c r="M61" s="46">
        <f>IF(ROW(tbl_OIL[[#This Row],[Adj Close]])=5, 0, $F61-$F60)</f>
        <v>-0.55999999999999872</v>
      </c>
      <c r="N61" s="46">
        <f>MAX(tbl_OIL[[#This Row],[Move]],0)</f>
        <v>0</v>
      </c>
      <c r="O61" s="46">
        <f>MAX(-tbl_OIL[[#This Row],[Move]],0)</f>
        <v>0.55999999999999872</v>
      </c>
      <c r="P61" s="46">
        <f ca="1">IF(ROW($N61)-5&lt;RSI_Periods, "", AVERAGE(INDIRECT(ADDRESS(ROW($N61)-RSI_Periods +1, MATCH("Upmove", Price_Header,0))): INDIRECT(ADDRESS(ROW($N61),MATCH("Upmove", Price_Header,0)))))</f>
        <v>6.4999999999999877E-2</v>
      </c>
      <c r="Q61" s="46">
        <f ca="1">IF(ROW($O61)-5&lt;RSI_Periods, "", AVERAGE(INDIRECT(ADDRESS(ROW($O61)-RSI_Periods +1, MATCH("Downmove", Price_Header,0))): INDIRECT(ADDRESS(ROW($O61),MATCH("Downmove", Price_Header,0)))))</f>
        <v>0.15428571428571417</v>
      </c>
      <c r="R61" s="46">
        <f ca="1">IF(tbl_OIL[[#This Row],[Avg_Upmove]]="", "", tbl_OIL[[#This Row],[Avg_Upmove]]/tbl_OIL[[#This Row],[Avg_Downmove]])</f>
        <v>0.42129629629629584</v>
      </c>
      <c r="S61" s="10">
        <f ca="1">IF(ROW($N61)-4&lt;BB_Periods, "", _xlfn.STDEV.S(INDIRECT(ADDRESS(ROW($F61)-RSI_Periods +1, MATCH("Adj Close", Price_Header,0))): INDIRECT(ADDRESS(ROW($F61),MATCH("Adj Close", Price_Header,0)))))</f>
        <v>0.32768921218163383</v>
      </c>
    </row>
    <row r="62" spans="1:19" x14ac:dyDescent="0.35">
      <c r="A62" s="8">
        <v>44133</v>
      </c>
      <c r="B62" s="10">
        <v>10.69</v>
      </c>
      <c r="C62" s="10">
        <v>10.97</v>
      </c>
      <c r="D62" s="10">
        <v>10.58</v>
      </c>
      <c r="E62" s="10">
        <v>10.94</v>
      </c>
      <c r="F62" s="10">
        <v>10.94</v>
      </c>
      <c r="G62">
        <v>5900</v>
      </c>
      <c r="H62" s="10">
        <f>IF(tbl_OIL[[#This Row],[Date]]=$A$5, $F62, EMA_Beta*$H61 + (1-EMA_Beta)*$F62)</f>
        <v>11.854852313846061</v>
      </c>
      <c r="I62" s="46">
        <f ca="1">IF(tbl_OIL[[#This Row],[RS]]= "", "", 100-(100/(1+tbl_OIL[[#This Row],[RS]])))</f>
        <v>29.260450160771683</v>
      </c>
      <c r="J62" s="10">
        <f ca="1">IF(ROW($N62)-4&lt;BB_Periods, "", AVERAGE(INDIRECT(ADDRESS(ROW($F62)-RSI_Periods +1, MATCH("Adj Close", Price_Header,0))): INDIRECT(ADDRESS(ROW($F62),MATCH("Adj Close", Price_Header,0)))))</f>
        <v>11.932142857142859</v>
      </c>
      <c r="K62" s="10">
        <f ca="1">IF(tbl_OIL[[#This Row],[BB_Mean]]="", "", tbl_OIL[[#This Row],[BB_Mean]]+(BB_Width*tbl_OIL[[#This Row],[BB_Stdev]]))</f>
        <v>12.793346972014895</v>
      </c>
      <c r="L62" s="10">
        <f ca="1">IF(tbl_OIL[[#This Row],[BB_Mean]]="", "", tbl_OIL[[#This Row],[BB_Mean]]-(BB_Width*tbl_OIL[[#This Row],[BB_Stdev]]))</f>
        <v>11.070938742270823</v>
      </c>
      <c r="M62" s="46">
        <f>IF(ROW(tbl_OIL[[#This Row],[Adj Close]])=5, 0, $F62-$F61)</f>
        <v>-0.28000000000000114</v>
      </c>
      <c r="N62" s="46">
        <f>MAX(tbl_OIL[[#This Row],[Move]],0)</f>
        <v>0</v>
      </c>
      <c r="O62" s="46">
        <f>MAX(-tbl_OIL[[#This Row],[Move]],0)</f>
        <v>0.28000000000000114</v>
      </c>
      <c r="P62" s="46">
        <f ca="1">IF(ROW($N62)-5&lt;RSI_Periods, "", AVERAGE(INDIRECT(ADDRESS(ROW($N62)-RSI_Periods +1, MATCH("Upmove", Price_Header,0))): INDIRECT(ADDRESS(ROW($N62),MATCH("Upmove", Price_Header,0)))))</f>
        <v>6.4999999999999877E-2</v>
      </c>
      <c r="Q62" s="46">
        <f ca="1">IF(ROW($O62)-5&lt;RSI_Periods, "", AVERAGE(INDIRECT(ADDRESS(ROW($O62)-RSI_Periods +1, MATCH("Downmove", Price_Header,0))): INDIRECT(ADDRESS(ROW($O62),MATCH("Downmove", Price_Header,0)))))</f>
        <v>0.15714285714285708</v>
      </c>
      <c r="R62" s="46">
        <f ca="1">IF(tbl_OIL[[#This Row],[Avg_Upmove]]="", "", tbl_OIL[[#This Row],[Avg_Upmove]]/tbl_OIL[[#This Row],[Avg_Downmove]])</f>
        <v>0.41363636363636302</v>
      </c>
      <c r="S62" s="10">
        <f ca="1">IF(ROW($N62)-4&lt;BB_Periods, "", _xlfn.STDEV.S(INDIRECT(ADDRESS(ROW($F62)-RSI_Periods +1, MATCH("Adj Close", Price_Header,0))): INDIRECT(ADDRESS(ROW($F62),MATCH("Adj Close", Price_Header,0)))))</f>
        <v>0.43060205743601837</v>
      </c>
    </row>
    <row r="63" spans="1:19" x14ac:dyDescent="0.35">
      <c r="A63" s="8">
        <v>44134</v>
      </c>
      <c r="B63" s="10">
        <v>10.8</v>
      </c>
      <c r="C63" s="10">
        <v>10.82</v>
      </c>
      <c r="D63" s="10">
        <v>10.68</v>
      </c>
      <c r="E63" s="10">
        <v>10.77</v>
      </c>
      <c r="F63" s="10">
        <v>10.77</v>
      </c>
      <c r="G63">
        <v>11800</v>
      </c>
      <c r="H63" s="10">
        <f>IF(tbl_OIL[[#This Row],[Date]]=$A$5, $F63, EMA_Beta*$H62 + (1-EMA_Beta)*$F63)</f>
        <v>11.746367082461456</v>
      </c>
      <c r="I63" s="46">
        <f ca="1">IF(tbl_OIL[[#This Row],[RS]]= "", "", 100-(100/(1+tbl_OIL[[#This Row],[RS]])))</f>
        <v>30.232558139534845</v>
      </c>
      <c r="J63" s="10">
        <f ca="1">IF(ROW($N63)-4&lt;BB_Periods, "", AVERAGE(INDIRECT(ADDRESS(ROW($F63)-RSI_Periods +1, MATCH("Adj Close", Price_Header,0))): INDIRECT(ADDRESS(ROW($F63),MATCH("Adj Close", Price_Header,0)))))</f>
        <v>11.847142857142858</v>
      </c>
      <c r="K63" s="10">
        <f ca="1">IF(tbl_OIL[[#This Row],[BB_Mean]]="", "", tbl_OIL[[#This Row],[BB_Mean]]+(BB_Width*tbl_OIL[[#This Row],[BB_Stdev]]))</f>
        <v>12.908214262597047</v>
      </c>
      <c r="L63" s="10">
        <f ca="1">IF(tbl_OIL[[#This Row],[BB_Mean]]="", "", tbl_OIL[[#This Row],[BB_Mean]]-(BB_Width*tbl_OIL[[#This Row],[BB_Stdev]]))</f>
        <v>10.786071451688668</v>
      </c>
      <c r="M63" s="46">
        <f>IF(ROW(tbl_OIL[[#This Row],[Adj Close]])=5, 0, $F63-$F62)</f>
        <v>-0.16999999999999993</v>
      </c>
      <c r="N63" s="46">
        <f>MAX(tbl_OIL[[#This Row],[Move]],0)</f>
        <v>0</v>
      </c>
      <c r="O63" s="46">
        <f>MAX(-tbl_OIL[[#This Row],[Move]],0)</f>
        <v>0.16999999999999993</v>
      </c>
      <c r="P63" s="46">
        <f ca="1">IF(ROW($N63)-5&lt;RSI_Periods, "", AVERAGE(INDIRECT(ADDRESS(ROW($N63)-RSI_Periods +1, MATCH("Upmove", Price_Header,0))): INDIRECT(ADDRESS(ROW($N63),MATCH("Upmove", Price_Header,0)))))</f>
        <v>6.4999999999999877E-2</v>
      </c>
      <c r="Q63" s="46">
        <f ca="1">IF(ROW($O63)-5&lt;RSI_Periods, "", AVERAGE(INDIRECT(ADDRESS(ROW($O63)-RSI_Periods +1, MATCH("Downmove", Price_Header,0))): INDIRECT(ADDRESS(ROW($O63),MATCH("Downmove", Price_Header,0)))))</f>
        <v>0.14999999999999997</v>
      </c>
      <c r="R63" s="46">
        <f ca="1">IF(tbl_OIL[[#This Row],[Avg_Upmove]]="", "", tbl_OIL[[#This Row],[Avg_Upmove]]/tbl_OIL[[#This Row],[Avg_Downmove]])</f>
        <v>0.43333333333333263</v>
      </c>
      <c r="S63" s="10">
        <f ca="1">IF(ROW($N63)-4&lt;BB_Periods, "", _xlfn.STDEV.S(INDIRECT(ADDRESS(ROW($F63)-RSI_Periods +1, MATCH("Adj Close", Price_Header,0))): INDIRECT(ADDRESS(ROW($F63),MATCH("Adj Close", Price_Header,0)))))</f>
        <v>0.53053570272709472</v>
      </c>
    </row>
    <row r="64" spans="1:19" x14ac:dyDescent="0.35">
      <c r="A64" s="8">
        <v>44137</v>
      </c>
      <c r="B64" s="10">
        <v>10.76</v>
      </c>
      <c r="C64" s="10">
        <v>11.21</v>
      </c>
      <c r="D64" s="10">
        <v>10.76</v>
      </c>
      <c r="E64" s="10">
        <v>11.21</v>
      </c>
      <c r="F64" s="10">
        <v>11.21</v>
      </c>
      <c r="G64">
        <v>700</v>
      </c>
      <c r="H64" s="10">
        <f>IF(tbl_OIL[[#This Row],[Date]]=$A$5, $F64, EMA_Beta*$H63 + (1-EMA_Beta)*$F64)</f>
        <v>11.69273037421531</v>
      </c>
      <c r="I64" s="46">
        <f ca="1">IF(tbl_OIL[[#This Row],[RS]]= "", "", 100-(100/(1+tbl_OIL[[#This Row],[RS]])))</f>
        <v>35.582822085889575</v>
      </c>
      <c r="J64" s="10">
        <f ca="1">IF(ROW($N64)-4&lt;BB_Periods, "", AVERAGE(INDIRECT(ADDRESS(ROW($F64)-RSI_Periods +1, MATCH("Adj Close", Price_Header,0))): INDIRECT(ADDRESS(ROW($F64),MATCH("Adj Close", Price_Header,0)))))</f>
        <v>11.780000000000003</v>
      </c>
      <c r="K64" s="10">
        <f ca="1">IF(tbl_OIL[[#This Row],[BB_Mean]]="", "", tbl_OIL[[#This Row],[BB_Mean]]+(BB_Width*tbl_OIL[[#This Row],[BB_Stdev]]))</f>
        <v>12.876876684745586</v>
      </c>
      <c r="L64" s="10">
        <f ca="1">IF(tbl_OIL[[#This Row],[BB_Mean]]="", "", tbl_OIL[[#This Row],[BB_Mean]]-(BB_Width*tbl_OIL[[#This Row],[BB_Stdev]]))</f>
        <v>10.68312331525442</v>
      </c>
      <c r="M64" s="46">
        <f>IF(ROW(tbl_OIL[[#This Row],[Adj Close]])=5, 0, $F64-$F63)</f>
        <v>0.44000000000000128</v>
      </c>
      <c r="N64" s="46">
        <f>MAX(tbl_OIL[[#This Row],[Move]],0)</f>
        <v>0.44000000000000128</v>
      </c>
      <c r="O64" s="46">
        <f>MAX(-tbl_OIL[[#This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8.2857142857142865E-2</v>
      </c>
      <c r="Q64" s="46">
        <f ca="1">IF(ROW($O64)-5&lt;RSI_Periods, "", AVERAGE(INDIRECT(ADDRESS(ROW($O64)-RSI_Periods +1, MATCH("Downmove", Price_Header,0))): INDIRECT(ADDRESS(ROW($O64),MATCH("Downmove", Price_Header,0)))))</f>
        <v>0.14999999999999997</v>
      </c>
      <c r="R64" s="46">
        <f ca="1">IF(tbl_OIL[[#This Row],[Avg_Upmove]]="", "", tbl_OIL[[#This Row],[Avg_Upmove]]/tbl_OIL[[#This Row],[Avg_Downmove]])</f>
        <v>0.55238095238095253</v>
      </c>
      <c r="S64" s="10">
        <f ca="1">IF(ROW($N64)-4&lt;BB_Periods, "", _xlfn.STDEV.S(INDIRECT(ADDRESS(ROW($F64)-RSI_Periods +1, MATCH("Adj Close", Price_Header,0))): INDIRECT(ADDRESS(ROW($F64),MATCH("Adj Close", Price_Header,0)))))</f>
        <v>0.54843834237279188</v>
      </c>
    </row>
    <row r="65" spans="1:19" x14ac:dyDescent="0.35">
      <c r="A65" s="8">
        <v>44138</v>
      </c>
      <c r="B65" s="10">
        <v>11.48</v>
      </c>
      <c r="C65" s="10">
        <v>11.5</v>
      </c>
      <c r="D65" s="10">
        <v>11.35</v>
      </c>
      <c r="E65" s="10">
        <v>11.4</v>
      </c>
      <c r="F65" s="10">
        <v>11.4</v>
      </c>
      <c r="G65">
        <v>14900</v>
      </c>
      <c r="H65" s="10">
        <f>IF(tbl_OIL[[#This Row],[Date]]=$A$5, $F65, EMA_Beta*$H64 + (1-EMA_Beta)*$F65)</f>
        <v>11.66345733679378</v>
      </c>
      <c r="I65" s="46">
        <f ca="1">IF(tbl_OIL[[#This Row],[RS]]= "", "", 100-(100/(1+tbl_OIL[[#This Row],[RS]])))</f>
        <v>35.975609756097555</v>
      </c>
      <c r="J65" s="10">
        <f ca="1">IF(ROW($N65)-4&lt;BB_Periods, "", AVERAGE(INDIRECT(ADDRESS(ROW($F65)-RSI_Periods +1, MATCH("Adj Close", Price_Header,0))): INDIRECT(ADDRESS(ROW($F65),MATCH("Adj Close", Price_Header,0)))))</f>
        <v>11.714285714285717</v>
      </c>
      <c r="K65" s="10">
        <f ca="1">IF(tbl_OIL[[#This Row],[BB_Mean]]="", "", tbl_OIL[[#This Row],[BB_Mean]]+(BB_Width*tbl_OIL[[#This Row],[BB_Stdev]]))</f>
        <v>12.781639430747115</v>
      </c>
      <c r="L65" s="10">
        <f ca="1">IF(tbl_OIL[[#This Row],[BB_Mean]]="", "", tbl_OIL[[#This Row],[BB_Mean]]-(BB_Width*tbl_OIL[[#This Row],[BB_Stdev]]))</f>
        <v>10.64693199782432</v>
      </c>
      <c r="M65" s="46">
        <f>IF(ROW(tbl_OIL[[#This Row],[Adj Close]])=5, 0, $F65-$F64)</f>
        <v>0.1899999999999995</v>
      </c>
      <c r="N65" s="46">
        <f>MAX(tbl_OIL[[#This Row],[Move]],0)</f>
        <v>0.1899999999999995</v>
      </c>
      <c r="O65" s="46">
        <f>MAX(-tbl_OIL[[#This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8.4285714285714269E-2</v>
      </c>
      <c r="Q65" s="46">
        <f ca="1">IF(ROW($O65)-5&lt;RSI_Periods, "", AVERAGE(INDIRECT(ADDRESS(ROW($O65)-RSI_Periods +1, MATCH("Downmove", Price_Header,0))): INDIRECT(ADDRESS(ROW($O65),MATCH("Downmove", Price_Header,0)))))</f>
        <v>0.14999999999999997</v>
      </c>
      <c r="R65" s="46">
        <f ca="1">IF(tbl_OIL[[#This Row],[Avg_Upmove]]="", "", tbl_OIL[[#This Row],[Avg_Upmove]]/tbl_OIL[[#This Row],[Avg_Downmove]])</f>
        <v>0.56190476190476191</v>
      </c>
      <c r="S65" s="10">
        <f ca="1">IF(ROW($N65)-4&lt;BB_Periods, "", _xlfn.STDEV.S(INDIRECT(ADDRESS(ROW($F65)-RSI_Periods +1, MATCH("Adj Close", Price_Header,0))): INDIRECT(ADDRESS(ROW($F65),MATCH("Adj Close", Price_Header,0)))))</f>
        <v>0.53367685823069866</v>
      </c>
    </row>
    <row r="66" spans="1:19" x14ac:dyDescent="0.35">
      <c r="A66" s="8">
        <v>44139</v>
      </c>
      <c r="B66" s="10">
        <v>11.53</v>
      </c>
      <c r="C66" s="10">
        <v>11.78</v>
      </c>
      <c r="D66" s="10">
        <v>11.49</v>
      </c>
      <c r="E66" s="10">
        <v>11.69</v>
      </c>
      <c r="F66" s="10">
        <v>11.69</v>
      </c>
      <c r="G66">
        <v>10100</v>
      </c>
      <c r="H66" s="10">
        <f>IF(tbl_OIL[[#This Row],[Date]]=$A$5, $F66, EMA_Beta*$H65 + (1-EMA_Beta)*$F66)</f>
        <v>11.666111603114402</v>
      </c>
      <c r="I66" s="46">
        <f ca="1">IF(tbl_OIL[[#This Row],[RS]]= "", "", 100-(100/(1+tbl_OIL[[#This Row],[RS]])))</f>
        <v>41.292134831460658</v>
      </c>
      <c r="J66" s="10">
        <f ca="1">IF(ROW($N66)-4&lt;BB_Periods, "", AVERAGE(INDIRECT(ADDRESS(ROW($F66)-RSI_Periods +1, MATCH("Adj Close", Price_Header,0))): INDIRECT(ADDRESS(ROW($F66),MATCH("Adj Close", Price_Header,0)))))</f>
        <v>11.670000000000002</v>
      </c>
      <c r="K66" s="10">
        <f ca="1">IF(tbl_OIL[[#This Row],[BB_Mean]]="", "", tbl_OIL[[#This Row],[BB_Mean]]+(BB_Width*tbl_OIL[[#This Row],[BB_Stdev]]))</f>
        <v>12.680833623987954</v>
      </c>
      <c r="L66" s="10">
        <f ca="1">IF(tbl_OIL[[#This Row],[BB_Mean]]="", "", tbl_OIL[[#This Row],[BB_Mean]]-(BB_Width*tbl_OIL[[#This Row],[BB_Stdev]]))</f>
        <v>10.659166376012049</v>
      </c>
      <c r="M66" s="46">
        <f>IF(ROW(tbl_OIL[[#This Row],[Adj Close]])=5, 0, $F66-$F65)</f>
        <v>0.28999999999999915</v>
      </c>
      <c r="N66" s="46">
        <f>MAX(tbl_OIL[[#This Row],[Move]],0)</f>
        <v>0.28999999999999915</v>
      </c>
      <c r="O66" s="46">
        <f>MAX(-tbl_OIL[[#This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0.10499999999999991</v>
      </c>
      <c r="Q66" s="46">
        <f ca="1">IF(ROW($O66)-5&lt;RSI_Periods, "", AVERAGE(INDIRECT(ADDRESS(ROW($O66)-RSI_Periods +1, MATCH("Downmove", Price_Header,0))): INDIRECT(ADDRESS(ROW($O66),MATCH("Downmove", Price_Header,0)))))</f>
        <v>0.14928571428571427</v>
      </c>
      <c r="R66" s="46">
        <f ca="1">IF(tbl_OIL[[#This Row],[Avg_Upmove]]="", "", tbl_OIL[[#This Row],[Avg_Upmove]]/tbl_OIL[[#This Row],[Avg_Downmove]])</f>
        <v>0.70334928229665017</v>
      </c>
      <c r="S66" s="10">
        <f ca="1">IF(ROW($N66)-4&lt;BB_Periods, "", _xlfn.STDEV.S(INDIRECT(ADDRESS(ROW($F66)-RSI_Periods +1, MATCH("Adj Close", Price_Header,0))): INDIRECT(ADDRESS(ROW($F66),MATCH("Adj Close", Price_Header,0)))))</f>
        <v>0.50541681199397592</v>
      </c>
    </row>
    <row r="67" spans="1:19" x14ac:dyDescent="0.35">
      <c r="A67" s="8">
        <v>44140</v>
      </c>
      <c r="B67" s="10">
        <v>11.74</v>
      </c>
      <c r="C67" s="10">
        <v>11.74</v>
      </c>
      <c r="D67" s="10">
        <v>11.58</v>
      </c>
      <c r="E67" s="10">
        <v>11.58</v>
      </c>
      <c r="F67" s="10">
        <v>11.58</v>
      </c>
      <c r="G67">
        <v>1200</v>
      </c>
      <c r="H67" s="10">
        <f>IF(tbl_OIL[[#This Row],[Date]]=$A$5, $F67, EMA_Beta*$H66 + (1-EMA_Beta)*$F67)</f>
        <v>11.657500442802961</v>
      </c>
      <c r="I67" s="46">
        <f ca="1">IF(tbl_OIL[[#This Row],[RS]]= "", "", 100-(100/(1+tbl_OIL[[#This Row],[RS]])))</f>
        <v>40.947075208913638</v>
      </c>
      <c r="J67" s="10">
        <f ca="1">IF(ROW($N67)-4&lt;BB_Periods, "", AVERAGE(INDIRECT(ADDRESS(ROW($F67)-RSI_Periods +1, MATCH("Adj Close", Price_Header,0))): INDIRECT(ADDRESS(ROW($F67),MATCH("Adj Close", Price_Header,0)))))</f>
        <v>11.623571428571429</v>
      </c>
      <c r="K67" s="10">
        <f ca="1">IF(tbl_OIL[[#This Row],[BB_Mean]]="", "", tbl_OIL[[#This Row],[BB_Mean]]+(BB_Width*tbl_OIL[[#This Row],[BB_Stdev]]))</f>
        <v>12.581954911890556</v>
      </c>
      <c r="L67" s="10">
        <f ca="1">IF(tbl_OIL[[#This Row],[BB_Mean]]="", "", tbl_OIL[[#This Row],[BB_Mean]]-(BB_Width*tbl_OIL[[#This Row],[BB_Stdev]]))</f>
        <v>10.665187945252303</v>
      </c>
      <c r="M67" s="46">
        <f>IF(ROW(tbl_OIL[[#This Row],[Adj Close]])=5, 0, $F67-$F66)</f>
        <v>-0.10999999999999943</v>
      </c>
      <c r="N67" s="46">
        <f>MAX(tbl_OIL[[#This Row],[Move]],0)</f>
        <v>0</v>
      </c>
      <c r="O67" s="46">
        <f>MAX(-tbl_OIL[[#This Row],[Move]],0)</f>
        <v>0.10999999999999943</v>
      </c>
      <c r="P67" s="46">
        <f ca="1">IF(ROW($N67)-5&lt;RSI_Periods, "", AVERAGE(INDIRECT(ADDRESS(ROW($N67)-RSI_Periods +1, MATCH("Upmove", Price_Header,0))): INDIRECT(ADDRESS(ROW($N67),MATCH("Upmove", Price_Header,0)))))</f>
        <v>0.10499999999999991</v>
      </c>
      <c r="Q67" s="46">
        <f ca="1">IF(ROW($O67)-5&lt;RSI_Periods, "", AVERAGE(INDIRECT(ADDRESS(ROW($O67)-RSI_Periods +1, MATCH("Downmove", Price_Header,0))): INDIRECT(ADDRESS(ROW($O67),MATCH("Downmove", Price_Header,0)))))</f>
        <v>0.15142857142857138</v>
      </c>
      <c r="R67" s="46">
        <f ca="1">IF(tbl_OIL[[#This Row],[Avg_Upmove]]="", "", tbl_OIL[[#This Row],[Avg_Upmove]]/tbl_OIL[[#This Row],[Avg_Downmove]])</f>
        <v>0.69339622641509402</v>
      </c>
      <c r="S67" s="10">
        <f ca="1">IF(ROW($N67)-4&lt;BB_Periods, "", _xlfn.STDEV.S(INDIRECT(ADDRESS(ROW($F67)-RSI_Periods +1, MATCH("Adj Close", Price_Header,0))): INDIRECT(ADDRESS(ROW($F67),MATCH("Adj Close", Price_Header,0)))))</f>
        <v>0.47919174165956313</v>
      </c>
    </row>
    <row r="68" spans="1:19" x14ac:dyDescent="0.35">
      <c r="A68" s="8">
        <v>44141</v>
      </c>
      <c r="B68" s="10">
        <v>11.47</v>
      </c>
      <c r="C68" s="10">
        <v>11.47</v>
      </c>
      <c r="D68" s="10">
        <v>11.24</v>
      </c>
      <c r="E68" s="10">
        <v>11.27</v>
      </c>
      <c r="F68" s="10">
        <v>11.27</v>
      </c>
      <c r="G68">
        <v>1200</v>
      </c>
      <c r="H68" s="10">
        <f>IF(tbl_OIL[[#This Row],[Date]]=$A$5, $F68, EMA_Beta*$H67 + (1-EMA_Beta)*$F68)</f>
        <v>11.618750398522664</v>
      </c>
      <c r="I68" s="46">
        <f ca="1">IF(tbl_OIL[[#This Row],[RS]]= "", "", 100-(100/(1+tbl_OIL[[#This Row],[RS]])))</f>
        <v>37.886597938144313</v>
      </c>
      <c r="J68" s="10">
        <f ca="1">IF(ROW($N68)-4&lt;BB_Periods, "", AVERAGE(INDIRECT(ADDRESS(ROW($F68)-RSI_Periods +1, MATCH("Adj Close", Price_Header,0))): INDIRECT(ADDRESS(ROW($F68),MATCH("Adj Close", Price_Header,0)))))</f>
        <v>11.556428571428572</v>
      </c>
      <c r="K68" s="10">
        <f ca="1">IF(tbl_OIL[[#This Row],[BB_Mean]]="", "", tbl_OIL[[#This Row],[BB_Mean]]+(BB_Width*tbl_OIL[[#This Row],[BB_Stdev]]))</f>
        <v>12.468420715215826</v>
      </c>
      <c r="L68" s="10">
        <f ca="1">IF(tbl_OIL[[#This Row],[BB_Mean]]="", "", tbl_OIL[[#This Row],[BB_Mean]]-(BB_Width*tbl_OIL[[#This Row],[BB_Stdev]]))</f>
        <v>10.644436427641319</v>
      </c>
      <c r="M68" s="46">
        <f>IF(ROW(tbl_OIL[[#This Row],[Adj Close]])=5, 0, $F68-$F67)</f>
        <v>-0.3100000000000005</v>
      </c>
      <c r="N68" s="46">
        <f>MAX(tbl_OIL[[#This Row],[Move]],0)</f>
        <v>0</v>
      </c>
      <c r="O68" s="46">
        <f>MAX(-tbl_OIL[[#This Row],[Move]],0)</f>
        <v>0.3100000000000005</v>
      </c>
      <c r="P68" s="46">
        <f ca="1">IF(ROW($N68)-5&lt;RSI_Periods, "", AVERAGE(INDIRECT(ADDRESS(ROW($N68)-RSI_Periods +1, MATCH("Upmove", Price_Header,0))): INDIRECT(ADDRESS(ROW($N68),MATCH("Upmove", Price_Header,0)))))</f>
        <v>0.10499999999999991</v>
      </c>
      <c r="Q68" s="46">
        <f ca="1">IF(ROW($O68)-5&lt;RSI_Periods, "", AVERAGE(INDIRECT(ADDRESS(ROW($O68)-RSI_Periods +1, MATCH("Downmove", Price_Header,0))): INDIRECT(ADDRESS(ROW($O68),MATCH("Downmove", Price_Header,0)))))</f>
        <v>0.17214285714285715</v>
      </c>
      <c r="R68" s="46">
        <f ca="1">IF(tbl_OIL[[#This Row],[Avg_Upmove]]="", "", tbl_OIL[[#This Row],[Avg_Upmove]]/tbl_OIL[[#This Row],[Avg_Downmove]])</f>
        <v>0.60995850622406589</v>
      </c>
      <c r="S68" s="10">
        <f ca="1">IF(ROW($N68)-4&lt;BB_Periods, "", _xlfn.STDEV.S(INDIRECT(ADDRESS(ROW($F68)-RSI_Periods +1, MATCH("Adj Close", Price_Header,0))): INDIRECT(ADDRESS(ROW($F68),MATCH("Adj Close", Price_Header,0)))))</f>
        <v>0.45599607189362684</v>
      </c>
    </row>
    <row r="69" spans="1:19" x14ac:dyDescent="0.35">
      <c r="A69" s="8">
        <v>44144</v>
      </c>
      <c r="B69" s="10">
        <v>12.25</v>
      </c>
      <c r="C69" s="10">
        <v>12.26</v>
      </c>
      <c r="D69" s="10">
        <v>12</v>
      </c>
      <c r="E69" s="10">
        <v>12</v>
      </c>
      <c r="F69" s="10">
        <v>12</v>
      </c>
      <c r="G69">
        <v>17500</v>
      </c>
      <c r="H69" s="10">
        <f>IF(tbl_OIL[[#This Row],[Date]]=$A$5, $F69, EMA_Beta*$H68 + (1-EMA_Beta)*$F69)</f>
        <v>11.656875358670398</v>
      </c>
      <c r="I69" s="46">
        <f ca="1">IF(tbl_OIL[[#This Row],[RS]]= "", "", 100-(100/(1+tbl_OIL[[#This Row],[RS]])))</f>
        <v>45.720720720720713</v>
      </c>
      <c r="J69" s="10">
        <f ca="1">IF(ROW($N69)-4&lt;BB_Periods, "", AVERAGE(INDIRECT(ADDRESS(ROW($F69)-RSI_Periods +1, MATCH("Adj Close", Price_Header,0))): INDIRECT(ADDRESS(ROW($F69),MATCH("Adj Close", Price_Header,0)))))</f>
        <v>11.529285714285717</v>
      </c>
      <c r="K69" s="10">
        <f ca="1">IF(tbl_OIL[[#This Row],[BB_Mean]]="", "", tbl_OIL[[#This Row],[BB_Mean]]+(BB_Width*tbl_OIL[[#This Row],[BB_Stdev]]))</f>
        <v>12.354148007155139</v>
      </c>
      <c r="L69" s="10">
        <f ca="1">IF(tbl_OIL[[#This Row],[BB_Mean]]="", "", tbl_OIL[[#This Row],[BB_Mean]]-(BB_Width*tbl_OIL[[#This Row],[BB_Stdev]]))</f>
        <v>10.704423421416294</v>
      </c>
      <c r="M69" s="46">
        <f>IF(ROW(tbl_OIL[[#This Row],[Adj Close]])=5, 0, $F69-$F68)</f>
        <v>0.73000000000000043</v>
      </c>
      <c r="N69" s="46">
        <f>MAX(tbl_OIL[[#This Row],[Move]],0)</f>
        <v>0.73000000000000043</v>
      </c>
      <c r="O69" s="46">
        <f>MAX(-tbl_OIL[[#This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0.14499999999999996</v>
      </c>
      <c r="Q69" s="46">
        <f ca="1">IF(ROW($O69)-5&lt;RSI_Periods, "", AVERAGE(INDIRECT(ADDRESS(ROW($O69)-RSI_Periods +1, MATCH("Downmove", Price_Header,0))): INDIRECT(ADDRESS(ROW($O69),MATCH("Downmove", Price_Header,0)))))</f>
        <v>0.17214285714285715</v>
      </c>
      <c r="R69" s="46">
        <f ca="1">IF(tbl_OIL[[#This Row],[Avg_Upmove]]="", "", tbl_OIL[[#This Row],[Avg_Upmove]]/tbl_OIL[[#This Row],[Avg_Downmove]])</f>
        <v>0.84232365145228194</v>
      </c>
      <c r="S69" s="10">
        <f ca="1">IF(ROW($N69)-4&lt;BB_Periods, "", _xlfn.STDEV.S(INDIRECT(ADDRESS(ROW($F69)-RSI_Periods +1, MATCH("Adj Close", Price_Header,0))): INDIRECT(ADDRESS(ROW($F69),MATCH("Adj Close", Price_Header,0)))))</f>
        <v>0.41243114643471168</v>
      </c>
    </row>
    <row r="70" spans="1:19" x14ac:dyDescent="0.35">
      <c r="A70" s="8">
        <v>44145</v>
      </c>
      <c r="B70" s="10">
        <v>12.26</v>
      </c>
      <c r="C70" s="10">
        <v>12.36</v>
      </c>
      <c r="D70" s="10">
        <v>12.19</v>
      </c>
      <c r="E70" s="10">
        <v>12.35</v>
      </c>
      <c r="F70" s="10">
        <v>12.35</v>
      </c>
      <c r="G70">
        <v>15500</v>
      </c>
      <c r="H70" s="10">
        <f>IF(tbl_OIL[[#This Row],[Date]]=$A$5, $F70, EMA_Beta*$H69 + (1-EMA_Beta)*$F70)</f>
        <v>11.726187822803357</v>
      </c>
      <c r="I70" s="46">
        <f ca="1">IF(tbl_OIL[[#This Row],[RS]]= "", "", 100-(100/(1+tbl_OIL[[#This Row],[RS]])))</f>
        <v>54.214123006833709</v>
      </c>
      <c r="J70" s="10">
        <f ca="1">IF(ROW($N70)-4&lt;BB_Periods, "", AVERAGE(INDIRECT(ADDRESS(ROW($F70)-RSI_Periods +1, MATCH("Adj Close", Price_Header,0))): INDIRECT(ADDRESS(ROW($F70),MATCH("Adj Close", Price_Header,0)))))</f>
        <v>11.555714285714286</v>
      </c>
      <c r="K70" s="10">
        <f ca="1">IF(tbl_OIL[[#This Row],[BB_Mean]]="", "", tbl_OIL[[#This Row],[BB_Mean]]+(BB_Width*tbl_OIL[[#This Row],[BB_Stdev]]))</f>
        <v>12.46243158660595</v>
      </c>
      <c r="L70" s="10">
        <f ca="1">IF(tbl_OIL[[#This Row],[BB_Mean]]="", "", tbl_OIL[[#This Row],[BB_Mean]]-(BB_Width*tbl_OIL[[#This Row],[BB_Stdev]]))</f>
        <v>10.648996984822622</v>
      </c>
      <c r="M70" s="46">
        <f>IF(ROW(tbl_OIL[[#This Row],[Adj Close]])=5, 0, $F70-$F69)</f>
        <v>0.34999999999999964</v>
      </c>
      <c r="N70" s="46">
        <f>MAX(tbl_OIL[[#This Row],[Move]],0)</f>
        <v>0.34999999999999964</v>
      </c>
      <c r="O70" s="46">
        <f>MAX(-tbl_OIL[[#This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0.16999999999999993</v>
      </c>
      <c r="Q70" s="46">
        <f ca="1">IF(ROW($O70)-5&lt;RSI_Periods, "", AVERAGE(INDIRECT(ADDRESS(ROW($O70)-RSI_Periods +1, MATCH("Downmove", Price_Header,0))): INDIRECT(ADDRESS(ROW($O70),MATCH("Downmove", Price_Header,0)))))</f>
        <v>0.14357142857142854</v>
      </c>
      <c r="R70" s="46">
        <f ca="1">IF(tbl_OIL[[#This Row],[Avg_Upmove]]="", "", tbl_OIL[[#This Row],[Avg_Upmove]]/tbl_OIL[[#This Row],[Avg_Downmove]])</f>
        <v>1.1840796019900495</v>
      </c>
      <c r="S70" s="10">
        <f ca="1">IF(ROW($N70)-4&lt;BB_Periods, "", _xlfn.STDEV.S(INDIRECT(ADDRESS(ROW($F70)-RSI_Periods +1, MATCH("Adj Close", Price_Header,0))): INDIRECT(ADDRESS(ROW($F70),MATCH("Adj Close", Price_Header,0)))))</f>
        <v>0.45335865044583179</v>
      </c>
    </row>
    <row r="71" spans="1:19" x14ac:dyDescent="0.35">
      <c r="A71" s="8">
        <v>44146</v>
      </c>
      <c r="B71" s="10">
        <v>12.7</v>
      </c>
      <c r="C71" s="10">
        <v>12.7</v>
      </c>
      <c r="D71" s="10">
        <v>12.37</v>
      </c>
      <c r="E71" s="10">
        <v>12.42</v>
      </c>
      <c r="F71" s="10">
        <v>12.42</v>
      </c>
      <c r="G71">
        <v>15800</v>
      </c>
      <c r="H71" s="10">
        <f>IF(tbl_OIL[[#This Row],[Date]]=$A$5, $F71, EMA_Beta*$H70 + (1-EMA_Beta)*$F71)</f>
        <v>11.795569040523022</v>
      </c>
      <c r="I71" s="46">
        <f ca="1">IF(tbl_OIL[[#This Row],[RS]]= "", "", 100-(100/(1+tbl_OIL[[#This Row],[RS]])))</f>
        <v>53.255813953488371</v>
      </c>
      <c r="J71" s="10">
        <f ca="1">IF(ROW($N71)-4&lt;BB_Periods, "", AVERAGE(INDIRECT(ADDRESS(ROW($F71)-RSI_Periods +1, MATCH("Adj Close", Price_Header,0))): INDIRECT(ADDRESS(ROW($F71),MATCH("Adj Close", Price_Header,0)))))</f>
        <v>11.575714285714284</v>
      </c>
      <c r="K71" s="10">
        <f ca="1">IF(tbl_OIL[[#This Row],[BB_Mean]]="", "", tbl_OIL[[#This Row],[BB_Mean]]+(BB_Width*tbl_OIL[[#This Row],[BB_Stdev]]))</f>
        <v>12.547935035756776</v>
      </c>
      <c r="L71" s="10">
        <f ca="1">IF(tbl_OIL[[#This Row],[BB_Mean]]="", "", tbl_OIL[[#This Row],[BB_Mean]]-(BB_Width*tbl_OIL[[#This Row],[BB_Stdev]]))</f>
        <v>10.603493535671792</v>
      </c>
      <c r="M71" s="46">
        <f>IF(ROW(tbl_OIL[[#This Row],[Adj Close]])=5, 0, $F71-$F70)</f>
        <v>7.0000000000000284E-2</v>
      </c>
      <c r="N71" s="46">
        <f>MAX(tbl_OIL[[#This Row],[Move]],0)</f>
        <v>7.0000000000000284E-2</v>
      </c>
      <c r="O71" s="46">
        <f>MAX(-tbl_OIL[[#This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0.16357142857142851</v>
      </c>
      <c r="Q71" s="46">
        <f ca="1">IF(ROW($O71)-5&lt;RSI_Periods, "", AVERAGE(INDIRECT(ADDRESS(ROW($O71)-RSI_Periods +1, MATCH("Downmove", Price_Header,0))): INDIRECT(ADDRESS(ROW($O71),MATCH("Downmove", Price_Header,0)))))</f>
        <v>0.14357142857142854</v>
      </c>
      <c r="R71" s="46">
        <f ca="1">IF(tbl_OIL[[#This Row],[Avg_Upmove]]="", "", tbl_OIL[[#This Row],[Avg_Upmove]]/tbl_OIL[[#This Row],[Avg_Downmove]])</f>
        <v>1.1393034825870645</v>
      </c>
      <c r="S71" s="10">
        <f ca="1">IF(ROW($N71)-4&lt;BB_Periods, "", _xlfn.STDEV.S(INDIRECT(ADDRESS(ROW($F71)-RSI_Periods +1, MATCH("Adj Close", Price_Header,0))): INDIRECT(ADDRESS(ROW($F71),MATCH("Adj Close", Price_Header,0)))))</f>
        <v>0.48611037502124615</v>
      </c>
    </row>
    <row r="72" spans="1:19" x14ac:dyDescent="0.35">
      <c r="A72" s="8">
        <v>44147</v>
      </c>
      <c r="B72" s="10">
        <v>12.5</v>
      </c>
      <c r="C72" s="10">
        <v>12.55</v>
      </c>
      <c r="D72" s="10">
        <v>12.26</v>
      </c>
      <c r="E72" s="10">
        <v>12.26</v>
      </c>
      <c r="F72" s="10">
        <v>12.26</v>
      </c>
      <c r="G72">
        <v>4900</v>
      </c>
      <c r="H72" s="10">
        <f>IF(tbl_OIL[[#This Row],[Date]]=$A$5, $F72, EMA_Beta*$H71 + (1-EMA_Beta)*$F72)</f>
        <v>11.84201213647072</v>
      </c>
      <c r="I72" s="46">
        <f ca="1">IF(tbl_OIL[[#This Row],[RS]]= "", "", 100-(100/(1+tbl_OIL[[#This Row],[RS]])))</f>
        <v>54.653937947494043</v>
      </c>
      <c r="J72" s="10">
        <f ca="1">IF(ROW($N72)-4&lt;BB_Periods, "", AVERAGE(INDIRECT(ADDRESS(ROW($F72)-RSI_Periods +1, MATCH("Adj Close", Price_Header,0))): INDIRECT(ADDRESS(ROW($F72),MATCH("Adj Close", Price_Header,0)))))</f>
        <v>11.603571428571426</v>
      </c>
      <c r="K72" s="10">
        <f ca="1">IF(tbl_OIL[[#This Row],[BB_Mean]]="", "", tbl_OIL[[#This Row],[BB_Mean]]+(BB_Width*tbl_OIL[[#This Row],[BB_Stdev]]))</f>
        <v>12.632793902625943</v>
      </c>
      <c r="L72" s="10">
        <f ca="1">IF(tbl_OIL[[#This Row],[BB_Mean]]="", "", tbl_OIL[[#This Row],[BB_Mean]]-(BB_Width*tbl_OIL[[#This Row],[BB_Stdev]]))</f>
        <v>10.574348954516909</v>
      </c>
      <c r="M72" s="46">
        <f>IF(ROW(tbl_OIL[[#This Row],[Adj Close]])=5, 0, $F72-$F71)</f>
        <v>-0.16000000000000014</v>
      </c>
      <c r="N72" s="46">
        <f>MAX(tbl_OIL[[#This Row],[Move]],0)</f>
        <v>0</v>
      </c>
      <c r="O72" s="46">
        <f>MAX(-tbl_OIL[[#This Row],[Move]],0)</f>
        <v>0.16000000000000014</v>
      </c>
      <c r="P72" s="46">
        <f ca="1">IF(ROW($N72)-5&lt;RSI_Periods, "", AVERAGE(INDIRECT(ADDRESS(ROW($N72)-RSI_Periods +1, MATCH("Upmove", Price_Header,0))): INDIRECT(ADDRESS(ROW($N72),MATCH("Upmove", Price_Header,0)))))</f>
        <v>0.16357142857142851</v>
      </c>
      <c r="Q72" s="46">
        <f ca="1">IF(ROW($O72)-5&lt;RSI_Periods, "", AVERAGE(INDIRECT(ADDRESS(ROW($O72)-RSI_Periods +1, MATCH("Downmove", Price_Header,0))): INDIRECT(ADDRESS(ROW($O72),MATCH("Downmove", Price_Header,0)))))</f>
        <v>0.13571428571428562</v>
      </c>
      <c r="R72" s="46">
        <f ca="1">IF(tbl_OIL[[#This Row],[Avg_Upmove]]="", "", tbl_OIL[[#This Row],[Avg_Upmove]]/tbl_OIL[[#This Row],[Avg_Downmove]])</f>
        <v>1.2052631578947373</v>
      </c>
      <c r="S72" s="10">
        <f ca="1">IF(ROW($N72)-4&lt;BB_Periods, "", _xlfn.STDEV.S(INDIRECT(ADDRESS(ROW($F72)-RSI_Periods +1, MATCH("Adj Close", Price_Header,0))): INDIRECT(ADDRESS(ROW($F72),MATCH("Adj Close", Price_Header,0)))))</f>
        <v>0.51461123702725853</v>
      </c>
    </row>
    <row r="73" spans="1:19" x14ac:dyDescent="0.35">
      <c r="A73" s="8">
        <v>44148</v>
      </c>
      <c r="B73" s="10">
        <v>12.12</v>
      </c>
      <c r="C73" s="10">
        <v>12.12</v>
      </c>
      <c r="D73" s="10">
        <v>11.97</v>
      </c>
      <c r="E73" s="10">
        <v>12</v>
      </c>
      <c r="F73" s="10">
        <v>12</v>
      </c>
      <c r="G73">
        <v>4600</v>
      </c>
      <c r="H73" s="10">
        <f>IF(tbl_OIL[[#This Row],[Date]]=$A$5, $F73, EMA_Beta*$H72 + (1-EMA_Beta)*$F73)</f>
        <v>11.857810922823647</v>
      </c>
      <c r="I73" s="46">
        <f ca="1">IF(tbl_OIL[[#This Row],[RS]]= "", "", 100-(100/(1+tbl_OIL[[#This Row],[RS]])))</f>
        <v>55.314009661835748</v>
      </c>
      <c r="J73" s="10">
        <f ca="1">IF(ROW($N73)-4&lt;BB_Periods, "", AVERAGE(INDIRECT(ADDRESS(ROW($F73)-RSI_Periods +1, MATCH("Adj Close", Price_Header,0))): INDIRECT(ADDRESS(ROW($F73),MATCH("Adj Close", Price_Header,0)))))</f>
        <v>11.634999999999996</v>
      </c>
      <c r="K73" s="10">
        <f ca="1">IF(tbl_OIL[[#This Row],[BB_Mean]]="", "", tbl_OIL[[#This Row],[BB_Mean]]+(BB_Width*tbl_OIL[[#This Row],[BB_Stdev]]))</f>
        <v>12.68515017241125</v>
      </c>
      <c r="L73" s="10">
        <f ca="1">IF(tbl_OIL[[#This Row],[BB_Mean]]="", "", tbl_OIL[[#This Row],[BB_Mean]]-(BB_Width*tbl_OIL[[#This Row],[BB_Stdev]]))</f>
        <v>10.584849827588743</v>
      </c>
      <c r="M73" s="46">
        <f>IF(ROW(tbl_OIL[[#This Row],[Adj Close]])=5, 0, $F73-$F72)</f>
        <v>-0.25999999999999979</v>
      </c>
      <c r="N73" s="46">
        <f>MAX(tbl_OIL[[#This Row],[Move]],0)</f>
        <v>0</v>
      </c>
      <c r="O73" s="46">
        <f>MAX(-tbl_OIL[[#This Row],[Move]],0)</f>
        <v>0.25999999999999979</v>
      </c>
      <c r="P73" s="46">
        <f ca="1">IF(ROW($N73)-5&lt;RSI_Periods, "", AVERAGE(INDIRECT(ADDRESS(ROW($N73)-RSI_Periods +1, MATCH("Upmove", Price_Header,0))): INDIRECT(ADDRESS(ROW($N73),MATCH("Upmove", Price_Header,0)))))</f>
        <v>0.16357142857142851</v>
      </c>
      <c r="Q73" s="46">
        <f ca="1">IF(ROW($O73)-5&lt;RSI_Periods, "", AVERAGE(INDIRECT(ADDRESS(ROW($O73)-RSI_Periods +1, MATCH("Downmove", Price_Header,0))): INDIRECT(ADDRESS(ROW($O73),MATCH("Downmove", Price_Header,0)))))</f>
        <v>0.13214285714285712</v>
      </c>
      <c r="R73" s="46">
        <f ca="1">IF(tbl_OIL[[#This Row],[Avg_Upmove]]="", "", tbl_OIL[[#This Row],[Avg_Upmove]]/tbl_OIL[[#This Row],[Avg_Downmove]])</f>
        <v>1.2378378378378376</v>
      </c>
      <c r="S73" s="10">
        <f ca="1">IF(ROW($N73)-4&lt;BB_Periods, "", _xlfn.STDEV.S(INDIRECT(ADDRESS(ROW($F73)-RSI_Periods +1, MATCH("Adj Close", Price_Header,0))): INDIRECT(ADDRESS(ROW($F73),MATCH("Adj Close", Price_Header,0)))))</f>
        <v>0.52507508620562648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SUBTOTAL(103,tbl_OIL[BB_Stdev])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89CD-50F3-4C8F-AF8E-1ECE97554E8D}">
  <dimension ref="A1:S74"/>
  <sheetViews>
    <sheetView topLeftCell="B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364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21.46</v>
      </c>
      <c r="C5" s="10">
        <v>21.76</v>
      </c>
      <c r="D5" s="10">
        <v>21.03</v>
      </c>
      <c r="E5" s="10">
        <v>21.1</v>
      </c>
      <c r="F5" s="10">
        <v>21.1</v>
      </c>
      <c r="G5">
        <v>2463400</v>
      </c>
      <c r="H5" s="10">
        <f>IF(tbl_VIXY[[#This Row],[Date]]=$A$5, $F5, EMA_Beta*$H4 + (1-EMA_Beta)*$F5)</f>
        <v>21.1</v>
      </c>
      <c r="I5" s="46" t="str">
        <f ca="1">IF(tbl_VIXY[[#This Row],[RS]]= "", "", 100-(100/(1+tbl_VIXY[[#This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IF(tbl_VIXY[[#This Row],[BB_Mean]]="", "", tbl_VIXY[[#This Row],[BB_Mean]]+(BB_Width*tbl_VIXY[[#This Row],[BB_Stdev]]))</f>
        <v/>
      </c>
      <c r="L5" s="10" t="str">
        <f ca="1">IF(tbl_VIXY[[#This Row],[BB_Mean]]="", "", tbl_VIXY[[#This Row],[BB_Mean]]-(BB_Width*tbl_VIXY[[#This Row],[BB_Stdev]]))</f>
        <v/>
      </c>
      <c r="M5" s="46">
        <f>IF(ROW(tbl_VIXY[[#This Row],[Adj Close]])=5, 0, $F5-$F4)</f>
        <v>0</v>
      </c>
      <c r="N5" s="46">
        <f>MAX(tbl_VIXY[[#This Row],[Move]],0)</f>
        <v>0</v>
      </c>
      <c r="O5" s="46">
        <f>MAX(-tbl_VIXY[[#This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IF(tbl_VIXY[[#This Row],[Avg_Upmove]]="", "", tbl_VIXY[[#This Row],[Avg_Upmove]]/tbl_VIXY[[#This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20.62</v>
      </c>
      <c r="C6" s="10">
        <v>22.25</v>
      </c>
      <c r="D6" s="10">
        <v>20.52</v>
      </c>
      <c r="E6" s="10">
        <v>22.09</v>
      </c>
      <c r="F6" s="10">
        <v>22.09</v>
      </c>
      <c r="G6">
        <v>4127200</v>
      </c>
      <c r="H6" s="10">
        <f>IF(tbl_VIXY[[#This Row],[Date]]=$A$5, $F6, EMA_Beta*$H5 + (1-EMA_Beta)*$F6)</f>
        <v>21.199000000000002</v>
      </c>
      <c r="I6" s="46" t="str">
        <f ca="1">IF(tbl_VIXY[[#This Row],[RS]]= "", "", 100-(100/(1+tbl_VIXY[[#This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IF(tbl_VIXY[[#This Row],[BB_Mean]]="", "", tbl_VIXY[[#This Row],[BB_Mean]]+(BB_Width*tbl_VIXY[[#This Row],[BB_Stdev]]))</f>
        <v/>
      </c>
      <c r="L6" s="10" t="str">
        <f ca="1">IF(tbl_VIXY[[#This Row],[BB_Mean]]="", "", tbl_VIXY[[#This Row],[BB_Mean]]-(BB_Width*tbl_VIXY[[#This Row],[BB_Stdev]]))</f>
        <v/>
      </c>
      <c r="M6" s="46">
        <f>IF(ROW(tbl_VIXY[[#This Row],[Adj Close]])=5, 0, $F6-$F5)</f>
        <v>0.98999999999999844</v>
      </c>
      <c r="N6" s="46">
        <f>MAX(tbl_VIXY[[#This Row],[Move]],0)</f>
        <v>0.98999999999999844</v>
      </c>
      <c r="O6" s="46">
        <f>MAX(-tbl_VIXY[[#This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IF(tbl_VIXY[[#This Row],[Avg_Upmove]]="", "", tbl_VIXY[[#This Row],[Avg_Upmove]]/tbl_VIXY[[#This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21.25</v>
      </c>
      <c r="C7" s="10">
        <v>21.34</v>
      </c>
      <c r="D7" s="10">
        <v>20.74</v>
      </c>
      <c r="E7" s="10">
        <v>20.89</v>
      </c>
      <c r="F7" s="10">
        <v>20.89</v>
      </c>
      <c r="G7">
        <v>3283200</v>
      </c>
      <c r="H7" s="10">
        <f>IF(tbl_VIXY[[#This Row],[Date]]=$A$5, $F7, EMA_Beta*$H6 + (1-EMA_Beta)*$F7)</f>
        <v>21.168099999999999</v>
      </c>
      <c r="I7" s="46" t="str">
        <f ca="1">IF(tbl_VIXY[[#This Row],[RS]]= "", "", 100-(100/(1+tbl_VIXY[[#This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IF(tbl_VIXY[[#This Row],[BB_Mean]]="", "", tbl_VIXY[[#This Row],[BB_Mean]]+(BB_Width*tbl_VIXY[[#This Row],[BB_Stdev]]))</f>
        <v/>
      </c>
      <c r="L7" s="10" t="str">
        <f ca="1">IF(tbl_VIXY[[#This Row],[BB_Mean]]="", "", tbl_VIXY[[#This Row],[BB_Mean]]-(BB_Width*tbl_VIXY[[#This Row],[BB_Stdev]]))</f>
        <v/>
      </c>
      <c r="M7" s="46">
        <f>IF(ROW(tbl_VIXY[[#This Row],[Adj Close]])=5, 0, $F7-$F6)</f>
        <v>-1.1999999999999993</v>
      </c>
      <c r="N7" s="46">
        <f>MAX(tbl_VIXY[[#This Row],[Move]],0)</f>
        <v>0</v>
      </c>
      <c r="O7" s="46">
        <f>MAX(-tbl_VIXY[[#This Row],[Move]],0)</f>
        <v>1.1999999999999993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IF(tbl_VIXY[[#This Row],[Avg_Upmove]]="", "", tbl_VIXY[[#This Row],[Avg_Upmove]]/tbl_VIXY[[#This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21.06</v>
      </c>
      <c r="C8" s="10">
        <v>21.18</v>
      </c>
      <c r="D8" s="10">
        <v>20.420000000000002</v>
      </c>
      <c r="E8" s="10">
        <v>20.89</v>
      </c>
      <c r="F8" s="10">
        <v>20.89</v>
      </c>
      <c r="G8">
        <v>3065200</v>
      </c>
      <c r="H8" s="10">
        <f>IF(tbl_VIXY[[#This Row],[Date]]=$A$5, $F8, EMA_Beta*$H7 + (1-EMA_Beta)*$F8)</f>
        <v>21.140289999999997</v>
      </c>
      <c r="I8" s="46" t="str">
        <f ca="1">IF(tbl_VIXY[[#This Row],[RS]]= "", "", 100-(100/(1+tbl_VIXY[[#This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IF(tbl_VIXY[[#This Row],[BB_Mean]]="", "", tbl_VIXY[[#This Row],[BB_Mean]]+(BB_Width*tbl_VIXY[[#This Row],[BB_Stdev]]))</f>
        <v/>
      </c>
      <c r="L8" s="10" t="str">
        <f ca="1">IF(tbl_VIXY[[#This Row],[BB_Mean]]="", "", tbl_VIXY[[#This Row],[BB_Mean]]-(BB_Width*tbl_VIXY[[#This Row],[BB_Stdev]]))</f>
        <v/>
      </c>
      <c r="M8" s="46">
        <f>IF(ROW(tbl_VIXY[[#This Row],[Adj Close]])=5, 0, $F8-$F7)</f>
        <v>0</v>
      </c>
      <c r="N8" s="46">
        <f>MAX(tbl_VIXY[[#This Row],[Move]],0)</f>
        <v>0</v>
      </c>
      <c r="O8" s="46">
        <f>MAX(-tbl_VIXY[[#This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IF(tbl_VIXY[[#This Row],[Avg_Upmove]]="", "", tbl_VIXY[[#This Row],[Avg_Upmove]]/tbl_VIXY[[#This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21.06</v>
      </c>
      <c r="C9" s="10">
        <v>21.27</v>
      </c>
      <c r="D9" s="10">
        <v>20.75</v>
      </c>
      <c r="E9" s="10">
        <v>20.91</v>
      </c>
      <c r="F9" s="10">
        <v>20.91</v>
      </c>
      <c r="G9">
        <v>2632400</v>
      </c>
      <c r="H9" s="10">
        <f>IF(tbl_VIXY[[#This Row],[Date]]=$A$5, $F9, EMA_Beta*$H8 + (1-EMA_Beta)*$F9)</f>
        <v>21.117260999999999</v>
      </c>
      <c r="I9" s="46" t="str">
        <f ca="1">IF(tbl_VIXY[[#This Row],[RS]]= "", "", 100-(100/(1+tbl_VIXY[[#This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IF(tbl_VIXY[[#This Row],[BB_Mean]]="", "", tbl_VIXY[[#This Row],[BB_Mean]]+(BB_Width*tbl_VIXY[[#This Row],[BB_Stdev]]))</f>
        <v/>
      </c>
      <c r="L9" s="10" t="str">
        <f ca="1">IF(tbl_VIXY[[#This Row],[BB_Mean]]="", "", tbl_VIXY[[#This Row],[BB_Mean]]-(BB_Width*tbl_VIXY[[#This Row],[BB_Stdev]]))</f>
        <v/>
      </c>
      <c r="M9" s="46">
        <f>IF(ROW(tbl_VIXY[[#This Row],[Adj Close]])=5, 0, $F9-$F8)</f>
        <v>1.9999999999999574E-2</v>
      </c>
      <c r="N9" s="46">
        <f>MAX(tbl_VIXY[[#This Row],[Move]],0)</f>
        <v>1.9999999999999574E-2</v>
      </c>
      <c r="O9" s="46">
        <f>MAX(-tbl_VIXY[[#This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IF(tbl_VIXY[[#This Row],[Avg_Upmove]]="", "", tbl_VIXY[[#This Row],[Avg_Upmove]]/tbl_VIXY[[#This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20.420000000000002</v>
      </c>
      <c r="C10" s="10">
        <v>20.57</v>
      </c>
      <c r="D10" s="10">
        <v>20.02</v>
      </c>
      <c r="E10" s="10">
        <v>20.11</v>
      </c>
      <c r="F10" s="10">
        <v>20.11</v>
      </c>
      <c r="G10">
        <v>2077100</v>
      </c>
      <c r="H10" s="10">
        <f>IF(tbl_VIXY[[#This Row],[Date]]=$A$5, $F10, EMA_Beta*$H9 + (1-EMA_Beta)*$F10)</f>
        <v>21.0165349</v>
      </c>
      <c r="I10" s="46" t="str">
        <f ca="1">IF(tbl_VIXY[[#This Row],[RS]]= "", "", 100-(100/(1+tbl_VIXY[[#This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IF(tbl_VIXY[[#This Row],[BB_Mean]]="", "", tbl_VIXY[[#This Row],[BB_Mean]]+(BB_Width*tbl_VIXY[[#This Row],[BB_Stdev]]))</f>
        <v/>
      </c>
      <c r="L10" s="10" t="str">
        <f ca="1">IF(tbl_VIXY[[#This Row],[BB_Mean]]="", "", tbl_VIXY[[#This Row],[BB_Mean]]-(BB_Width*tbl_VIXY[[#This Row],[BB_Stdev]]))</f>
        <v/>
      </c>
      <c r="M10" s="46">
        <f>IF(ROW(tbl_VIXY[[#This Row],[Adj Close]])=5, 0, $F10-$F9)</f>
        <v>-0.80000000000000071</v>
      </c>
      <c r="N10" s="46">
        <f>MAX(tbl_VIXY[[#This Row],[Move]],0)</f>
        <v>0</v>
      </c>
      <c r="O10" s="46">
        <f>MAX(-tbl_VIXY[[#This Row],[Move]],0)</f>
        <v>0.80000000000000071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IF(tbl_VIXY[[#This Row],[Avg_Upmove]]="", "", tbl_VIXY[[#This Row],[Avg_Upmove]]/tbl_VIXY[[#This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19.989999999999998</v>
      </c>
      <c r="C11" s="10">
        <v>20.43</v>
      </c>
      <c r="D11" s="10">
        <v>19.77</v>
      </c>
      <c r="E11" s="10">
        <v>19.920000000000002</v>
      </c>
      <c r="F11" s="10">
        <v>19.920000000000002</v>
      </c>
      <c r="G11">
        <v>3092400</v>
      </c>
      <c r="H11" s="10">
        <f>IF(tbl_VIXY[[#This Row],[Date]]=$A$5, $F11, EMA_Beta*$H10 + (1-EMA_Beta)*$F11)</f>
        <v>20.90688141</v>
      </c>
      <c r="I11" s="46" t="str">
        <f ca="1">IF(tbl_VIXY[[#This Row],[RS]]= "", "", 100-(100/(1+tbl_VIXY[[#This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IF(tbl_VIXY[[#This Row],[BB_Mean]]="", "", tbl_VIXY[[#This Row],[BB_Mean]]+(BB_Width*tbl_VIXY[[#This Row],[BB_Stdev]]))</f>
        <v/>
      </c>
      <c r="L11" s="10" t="str">
        <f ca="1">IF(tbl_VIXY[[#This Row],[BB_Mean]]="", "", tbl_VIXY[[#This Row],[BB_Mean]]-(BB_Width*tbl_VIXY[[#This Row],[BB_Stdev]]))</f>
        <v/>
      </c>
      <c r="M11" s="46">
        <f>IF(ROW(tbl_VIXY[[#This Row],[Adj Close]])=5, 0, $F11-$F10)</f>
        <v>-0.18999999999999773</v>
      </c>
      <c r="N11" s="46">
        <f>MAX(tbl_VIXY[[#This Row],[Move]],0)</f>
        <v>0</v>
      </c>
      <c r="O11" s="46">
        <f>MAX(-tbl_VIXY[[#This Row],[Move]],0)</f>
        <v>0.18999999999999773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IF(tbl_VIXY[[#This Row],[Avg_Upmove]]="", "", tbl_VIXY[[#This Row],[Avg_Upmove]]/tbl_VIXY[[#This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19.78</v>
      </c>
      <c r="C12" s="10">
        <v>20.440000000000001</v>
      </c>
      <c r="D12" s="10">
        <v>19.64</v>
      </c>
      <c r="E12" s="10">
        <v>20.309999999999999</v>
      </c>
      <c r="F12" s="10">
        <v>20.309999999999999</v>
      </c>
      <c r="G12">
        <v>3472400</v>
      </c>
      <c r="H12" s="10">
        <f>IF(tbl_VIXY[[#This Row],[Date]]=$A$5, $F12, EMA_Beta*$H11 + (1-EMA_Beta)*$F12)</f>
        <v>20.847193268999998</v>
      </c>
      <c r="I12" s="46" t="str">
        <f ca="1">IF(tbl_VIXY[[#This Row],[RS]]= "", "", 100-(100/(1+tbl_VIXY[[#This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IF(tbl_VIXY[[#This Row],[BB_Mean]]="", "", tbl_VIXY[[#This Row],[BB_Mean]]+(BB_Width*tbl_VIXY[[#This Row],[BB_Stdev]]))</f>
        <v/>
      </c>
      <c r="L12" s="10" t="str">
        <f ca="1">IF(tbl_VIXY[[#This Row],[BB_Mean]]="", "", tbl_VIXY[[#This Row],[BB_Mean]]-(BB_Width*tbl_VIXY[[#This Row],[BB_Stdev]]))</f>
        <v/>
      </c>
      <c r="M12" s="46">
        <f>IF(ROW(tbl_VIXY[[#This Row],[Adj Close]])=5, 0, $F12-$F11)</f>
        <v>0.38999999999999702</v>
      </c>
      <c r="N12" s="46">
        <f>MAX(tbl_VIXY[[#This Row],[Move]],0)</f>
        <v>0.38999999999999702</v>
      </c>
      <c r="O12" s="46">
        <f>MAX(-tbl_VIXY[[#This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IF(tbl_VIXY[[#This Row],[Avg_Upmove]]="", "", tbl_VIXY[[#This Row],[Avg_Upmove]]/tbl_VIXY[[#This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21.11</v>
      </c>
      <c r="C13" s="10">
        <v>21.17</v>
      </c>
      <c r="D13" s="10">
        <v>20.010000000000002</v>
      </c>
      <c r="E13" s="10">
        <v>20.09</v>
      </c>
      <c r="F13" s="10">
        <v>20.09</v>
      </c>
      <c r="G13">
        <v>3244700</v>
      </c>
      <c r="H13" s="10">
        <f>IF(tbl_VIXY[[#This Row],[Date]]=$A$5, $F13, EMA_Beta*$H12 + (1-EMA_Beta)*$F13)</f>
        <v>20.771473942099998</v>
      </c>
      <c r="I13" s="46" t="str">
        <f ca="1">IF(tbl_VIXY[[#This Row],[RS]]= "", "", 100-(100/(1+tbl_VIXY[[#This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IF(tbl_VIXY[[#This Row],[BB_Mean]]="", "", tbl_VIXY[[#This Row],[BB_Mean]]+(BB_Width*tbl_VIXY[[#This Row],[BB_Stdev]]))</f>
        <v/>
      </c>
      <c r="L13" s="10" t="str">
        <f ca="1">IF(tbl_VIXY[[#This Row],[BB_Mean]]="", "", tbl_VIXY[[#This Row],[BB_Mean]]-(BB_Width*tbl_VIXY[[#This Row],[BB_Stdev]]))</f>
        <v/>
      </c>
      <c r="M13" s="46">
        <f>IF(ROW(tbl_VIXY[[#This Row],[Adj Close]])=5, 0, $F13-$F12)</f>
        <v>-0.21999999999999886</v>
      </c>
      <c r="N13" s="46">
        <f>MAX(tbl_VIXY[[#This Row],[Move]],0)</f>
        <v>0</v>
      </c>
      <c r="O13" s="46">
        <f>MAX(-tbl_VIXY[[#This Row],[Move]],0)</f>
        <v>0.21999999999999886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IF(tbl_VIXY[[#This Row],[Avg_Upmove]]="", "", tbl_VIXY[[#This Row],[Avg_Upmove]]/tbl_VIXY[[#This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20.440000000000001</v>
      </c>
      <c r="C14" s="10">
        <v>20.52</v>
      </c>
      <c r="D14" s="10">
        <v>20.09</v>
      </c>
      <c r="E14" s="10">
        <v>20.18</v>
      </c>
      <c r="F14" s="10">
        <v>20.18</v>
      </c>
      <c r="G14">
        <v>2488600</v>
      </c>
      <c r="H14" s="10">
        <f>IF(tbl_VIXY[[#This Row],[Date]]=$A$5, $F14, EMA_Beta*$H13 + (1-EMA_Beta)*$F14)</f>
        <v>20.712326547890001</v>
      </c>
      <c r="I14" s="46" t="str">
        <f ca="1">IF(tbl_VIXY[[#This Row],[RS]]= "", "", 100-(100/(1+tbl_VIXY[[#This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IF(tbl_VIXY[[#This Row],[BB_Mean]]="", "", tbl_VIXY[[#This Row],[BB_Mean]]+(BB_Width*tbl_VIXY[[#This Row],[BB_Stdev]]))</f>
        <v/>
      </c>
      <c r="L14" s="10" t="str">
        <f ca="1">IF(tbl_VIXY[[#This Row],[BB_Mean]]="", "", tbl_VIXY[[#This Row],[BB_Mean]]-(BB_Width*tbl_VIXY[[#This Row],[BB_Stdev]]))</f>
        <v/>
      </c>
      <c r="M14" s="46">
        <f>IF(ROW(tbl_VIXY[[#This Row],[Adj Close]])=5, 0, $F14-$F13)</f>
        <v>8.9999999999999858E-2</v>
      </c>
      <c r="N14" s="46">
        <f>MAX(tbl_VIXY[[#This Row],[Move]],0)</f>
        <v>8.9999999999999858E-2</v>
      </c>
      <c r="O14" s="46">
        <f>MAX(-tbl_VIXY[[#This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IF(tbl_VIXY[[#This Row],[Avg_Upmove]]="", "", tbl_VIXY[[#This Row],[Avg_Upmove]]/tbl_VIXY[[#This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19.63</v>
      </c>
      <c r="C15" s="10">
        <v>20.309999999999999</v>
      </c>
      <c r="D15" s="10">
        <v>19.579999999999998</v>
      </c>
      <c r="E15" s="10">
        <v>20.11</v>
      </c>
      <c r="F15" s="10">
        <v>20.11</v>
      </c>
      <c r="G15">
        <v>2965000</v>
      </c>
      <c r="H15" s="10">
        <f>IF(tbl_VIXY[[#This Row],[Date]]=$A$5, $F15, EMA_Beta*$H14 + (1-EMA_Beta)*$F15)</f>
        <v>20.652093893101</v>
      </c>
      <c r="I15" s="46" t="str">
        <f ca="1">IF(tbl_VIXY[[#This Row],[RS]]= "", "", 100-(100/(1+tbl_VIXY[[#This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IF(tbl_VIXY[[#This Row],[BB_Mean]]="", "", tbl_VIXY[[#This Row],[BB_Mean]]+(BB_Width*tbl_VIXY[[#This Row],[BB_Stdev]]))</f>
        <v/>
      </c>
      <c r="L15" s="10" t="str">
        <f ca="1">IF(tbl_VIXY[[#This Row],[BB_Mean]]="", "", tbl_VIXY[[#This Row],[BB_Mean]]-(BB_Width*tbl_VIXY[[#This Row],[BB_Stdev]]))</f>
        <v/>
      </c>
      <c r="M15" s="46">
        <f>IF(ROW(tbl_VIXY[[#This Row],[Adj Close]])=5, 0, $F15-$F14)</f>
        <v>-7.0000000000000284E-2</v>
      </c>
      <c r="N15" s="46">
        <f>MAX(tbl_VIXY[[#This Row],[Move]],0)</f>
        <v>0</v>
      </c>
      <c r="O15" s="46">
        <f>MAX(-tbl_VIXY[[#This Row],[Move]],0)</f>
        <v>7.0000000000000284E-2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IF(tbl_VIXY[[#This Row],[Avg_Upmove]]="", "", tbl_VIXY[[#This Row],[Avg_Upmove]]/tbl_VIXY[[#This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20.2</v>
      </c>
      <c r="C16" s="10">
        <v>20.75</v>
      </c>
      <c r="D16" s="10">
        <v>19.87</v>
      </c>
      <c r="E16" s="10">
        <v>19.97</v>
      </c>
      <c r="F16" s="10">
        <v>19.97</v>
      </c>
      <c r="G16">
        <v>3007500</v>
      </c>
      <c r="H16" s="10">
        <f>IF(tbl_VIXY[[#This Row],[Date]]=$A$5, $F16, EMA_Beta*$H15 + (1-EMA_Beta)*$F16)</f>
        <v>20.583884503790902</v>
      </c>
      <c r="I16" s="46" t="str">
        <f ca="1">IF(tbl_VIXY[[#This Row],[RS]]= "", "", 100-(100/(1+tbl_VIXY[[#This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IF(tbl_VIXY[[#This Row],[BB_Mean]]="", "", tbl_VIXY[[#This Row],[BB_Mean]]+(BB_Width*tbl_VIXY[[#This Row],[BB_Stdev]]))</f>
        <v/>
      </c>
      <c r="L16" s="10" t="str">
        <f ca="1">IF(tbl_VIXY[[#This Row],[BB_Mean]]="", "", tbl_VIXY[[#This Row],[BB_Mean]]-(BB_Width*tbl_VIXY[[#This Row],[BB_Stdev]]))</f>
        <v/>
      </c>
      <c r="M16" s="46">
        <f>IF(ROW(tbl_VIXY[[#This Row],[Adj Close]])=5, 0, $F16-$F15)</f>
        <v>-0.14000000000000057</v>
      </c>
      <c r="N16" s="46">
        <f>MAX(tbl_VIXY[[#This Row],[Move]],0)</f>
        <v>0</v>
      </c>
      <c r="O16" s="46">
        <f>MAX(-tbl_VIXY[[#This Row],[Move]],0)</f>
        <v>0.14000000000000057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IF(tbl_VIXY[[#This Row],[Avg_Upmove]]="", "", tbl_VIXY[[#This Row],[Avg_Upmove]]/tbl_VIXY[[#This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19.850000000000001</v>
      </c>
      <c r="C17" s="10">
        <v>20.56</v>
      </c>
      <c r="D17" s="10">
        <v>19.38</v>
      </c>
      <c r="E17" s="10">
        <v>20.43</v>
      </c>
      <c r="F17" s="10">
        <v>20.43</v>
      </c>
      <c r="G17">
        <v>2955300</v>
      </c>
      <c r="H17" s="10">
        <f>IF(tbl_VIXY[[#This Row],[Date]]=$A$5, $F17, EMA_Beta*$H16 + (1-EMA_Beta)*$F17)</f>
        <v>20.56849605341181</v>
      </c>
      <c r="I17" s="46" t="str">
        <f ca="1">IF(tbl_VIXY[[#This Row],[RS]]= "", "", 100-(100/(1+tbl_VIXY[[#This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IF(tbl_VIXY[[#This Row],[BB_Mean]]="", "", tbl_VIXY[[#This Row],[BB_Mean]]+(BB_Width*tbl_VIXY[[#This Row],[BB_Stdev]]))</f>
        <v/>
      </c>
      <c r="L17" s="10" t="str">
        <f ca="1">IF(tbl_VIXY[[#This Row],[BB_Mean]]="", "", tbl_VIXY[[#This Row],[BB_Mean]]-(BB_Width*tbl_VIXY[[#This Row],[BB_Stdev]]))</f>
        <v/>
      </c>
      <c r="M17" s="46">
        <f>IF(ROW(tbl_VIXY[[#This Row],[Adj Close]])=5, 0, $F17-$F16)</f>
        <v>0.46000000000000085</v>
      </c>
      <c r="N17" s="46">
        <f>MAX(tbl_VIXY[[#This Row],[Move]],0)</f>
        <v>0.46000000000000085</v>
      </c>
      <c r="O17" s="46">
        <f>MAX(-tbl_VIXY[[#This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IF(tbl_VIXY[[#This Row],[Avg_Upmove]]="", "", tbl_VIXY[[#This Row],[Avg_Upmove]]/tbl_VIXY[[#This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20.22</v>
      </c>
      <c r="C18" s="10">
        <v>22.71</v>
      </c>
      <c r="D18" s="10">
        <v>20.04</v>
      </c>
      <c r="E18" s="10">
        <v>21.08</v>
      </c>
      <c r="F18" s="10">
        <v>21.08</v>
      </c>
      <c r="G18">
        <v>6856200</v>
      </c>
      <c r="H18" s="10">
        <f>IF(tbl_VIXY[[#This Row],[Date]]=$A$5, $F18, EMA_Beta*$H17 + (1-EMA_Beta)*$F18)</f>
        <v>20.619646448070629</v>
      </c>
      <c r="I18" s="46" t="str">
        <f ca="1">IF(tbl_VIXY[[#This Row],[RS]]= "", "", 100-(100/(1+tbl_VIXY[[#This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20.577142857142857</v>
      </c>
      <c r="K18" s="10">
        <f ca="1">IF(tbl_VIXY[[#This Row],[BB_Mean]]="", "", tbl_VIXY[[#This Row],[BB_Mean]]+(BB_Width*tbl_VIXY[[#This Row],[BB_Stdev]]))</f>
        <v>21.798300657603704</v>
      </c>
      <c r="L18" s="10">
        <f ca="1">IF(tbl_VIXY[[#This Row],[BB_Mean]]="", "", tbl_VIXY[[#This Row],[BB_Mean]]-(BB_Width*tbl_VIXY[[#This Row],[BB_Stdev]]))</f>
        <v>19.355985056682009</v>
      </c>
      <c r="M18" s="46">
        <f>IF(ROW(tbl_VIXY[[#This Row],[Adj Close]])=5, 0, $F18-$F17)</f>
        <v>0.64999999999999858</v>
      </c>
      <c r="N18" s="46">
        <f>MAX(tbl_VIXY[[#This Row],[Move]],0)</f>
        <v>0.64999999999999858</v>
      </c>
      <c r="O18" s="46">
        <f>MAX(-tbl_VIXY[[#This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IF(tbl_VIXY[[#This Row],[Avg_Upmove]]="", "", tbl_VIXY[[#This Row],[Avg_Upmove]]/tbl_VIXY[[#This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0.6105789002304236</v>
      </c>
    </row>
    <row r="19" spans="1:19" x14ac:dyDescent="0.35">
      <c r="A19" s="8">
        <v>44071</v>
      </c>
      <c r="B19" s="10">
        <v>21.33</v>
      </c>
      <c r="C19" s="10">
        <v>22.22</v>
      </c>
      <c r="D19" s="10">
        <v>20.63</v>
      </c>
      <c r="E19" s="10">
        <v>20.97</v>
      </c>
      <c r="F19" s="10">
        <v>20.97</v>
      </c>
      <c r="G19">
        <v>5143700</v>
      </c>
      <c r="H19" s="10">
        <f>IF(tbl_VIXY[[#This Row],[Date]]=$A$5, $F19, EMA_Beta*$H18 + (1-EMA_Beta)*$F19)</f>
        <v>20.654681803263564</v>
      </c>
      <c r="I19" s="46">
        <f ca="1">IF(tbl_VIXY[[#This Row],[RS]]= "", "", 100-(100/(1+tbl_VIXY[[#This Row],[RS]])))</f>
        <v>48.780487804878021</v>
      </c>
      <c r="J19" s="10">
        <f ca="1">IF(ROW($N19)-4&lt;BB_Periods, "", AVERAGE(INDIRECT(ADDRESS(ROW($F19)-RSI_Periods +1, MATCH("Adj Close", Price_Header,0))): INDIRECT(ADDRESS(ROW($F19),MATCH("Adj Close", Price_Header,0)))))</f>
        <v>20.567857142857147</v>
      </c>
      <c r="K19" s="10">
        <f ca="1">IF(tbl_VIXY[[#This Row],[BB_Mean]]="", "", tbl_VIXY[[#This Row],[BB_Mean]]+(BB_Width*tbl_VIXY[[#This Row],[BB_Stdev]]))</f>
        <v>21.773770229951889</v>
      </c>
      <c r="L19" s="10">
        <f ca="1">IF(tbl_VIXY[[#This Row],[BB_Mean]]="", "", tbl_VIXY[[#This Row],[BB_Mean]]-(BB_Width*tbl_VIXY[[#This Row],[BB_Stdev]]))</f>
        <v>19.361944055762404</v>
      </c>
      <c r="M19" s="46">
        <f>IF(ROW(tbl_VIXY[[#This Row],[Adj Close]])=5, 0, $F19-$F18)</f>
        <v>-0.10999999999999943</v>
      </c>
      <c r="N19" s="46">
        <f>MAX(tbl_VIXY[[#This Row],[Move]],0)</f>
        <v>0</v>
      </c>
      <c r="O19" s="46">
        <f>MAX(-tbl_VIXY[[#This Row],[Move]],0)</f>
        <v>0.10999999999999943</v>
      </c>
      <c r="P19" s="46">
        <f ca="1">IF(ROW($N19)-5&lt;RSI_Periods, "", AVERAGE(INDIRECT(ADDRESS(ROW($N19)-RSI_Periods +1, MATCH("Upmove", Price_Header,0))): INDIRECT(ADDRESS(ROW($N19),MATCH("Upmove", Price_Header,0)))))</f>
        <v>0.1857142857142853</v>
      </c>
      <c r="Q19" s="46">
        <f ca="1">IF(ROW($O19)-5&lt;RSI_Periods, "", AVERAGE(INDIRECT(ADDRESS(ROW($O19)-RSI_Periods +1, MATCH("Downmove", Price_Header,0))): INDIRECT(ADDRESS(ROW($O19),MATCH("Downmove", Price_Header,0)))))</f>
        <v>0.19499999999999978</v>
      </c>
      <c r="R19" s="46">
        <f ca="1">IF(tbl_VIXY[[#This Row],[Avg_Upmove]]="", "", tbl_VIXY[[#This Row],[Avg_Upmove]]/tbl_VIXY[[#This Row],[Avg_Downmove]])</f>
        <v>0.95238095238095133</v>
      </c>
      <c r="S19" s="10">
        <f ca="1">IF(ROW($N19)-4&lt;BB_Periods, "", _xlfn.STDEV.S(INDIRECT(ADDRESS(ROW($F19)-RSI_Periods +1, MATCH("Adj Close", Price_Header,0))): INDIRECT(ADDRESS(ROW($F19),MATCH("Adj Close", Price_Header,0)))))</f>
        <v>0.60295654354737149</v>
      </c>
    </row>
    <row r="20" spans="1:19" x14ac:dyDescent="0.35">
      <c r="A20" s="8">
        <v>44074</v>
      </c>
      <c r="B20" s="10">
        <v>21.52</v>
      </c>
      <c r="C20" s="10">
        <v>22.19</v>
      </c>
      <c r="D20" s="10">
        <v>21.06</v>
      </c>
      <c r="E20" s="10">
        <v>21.97</v>
      </c>
      <c r="F20" s="10">
        <v>21.97</v>
      </c>
      <c r="G20">
        <v>4077200</v>
      </c>
      <c r="H20" s="10">
        <f>IF(tbl_VIXY[[#This Row],[Date]]=$A$5, $F20, EMA_Beta*$H19 + (1-EMA_Beta)*$F20)</f>
        <v>20.786213622937208</v>
      </c>
      <c r="I20" s="46">
        <f ca="1">IF(tbl_VIXY[[#This Row],[RS]]= "", "", 100-(100/(1+tbl_VIXY[[#This Row],[RS]])))</f>
        <v>48.876404494382015</v>
      </c>
      <c r="J20" s="10">
        <f ca="1">IF(ROW($N20)-4&lt;BB_Periods, "", AVERAGE(INDIRECT(ADDRESS(ROW($F20)-RSI_Periods +1, MATCH("Adj Close", Price_Header,0))): INDIRECT(ADDRESS(ROW($F20),MATCH("Adj Close", Price_Header,0)))))</f>
        <v>20.559285714285718</v>
      </c>
      <c r="K20" s="10">
        <f ca="1">IF(tbl_VIXY[[#This Row],[BB_Mean]]="", "", tbl_VIXY[[#This Row],[BB_Mean]]+(BB_Width*tbl_VIXY[[#This Row],[BB_Stdev]]))</f>
        <v>21.719430646497319</v>
      </c>
      <c r="L20" s="10">
        <f ca="1">IF(tbl_VIXY[[#This Row],[BB_Mean]]="", "", tbl_VIXY[[#This Row],[BB_Mean]]-(BB_Width*tbl_VIXY[[#This Row],[BB_Stdev]]))</f>
        <v>19.399140782074117</v>
      </c>
      <c r="M20" s="46">
        <f>IF(ROW(tbl_VIXY[[#This Row],[Adj Close]])=5, 0, $F20-$F19)</f>
        <v>1</v>
      </c>
      <c r="N20" s="46">
        <f>MAX(tbl_VIXY[[#This Row],[Move]],0)</f>
        <v>1</v>
      </c>
      <c r="O20" s="46">
        <f>MAX(-tbl_VIXY[[#This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0.18642857142857114</v>
      </c>
      <c r="Q20" s="46">
        <f ca="1">IF(ROW($O20)-5&lt;RSI_Periods, "", AVERAGE(INDIRECT(ADDRESS(ROW($O20)-RSI_Periods +1, MATCH("Downmove", Price_Header,0))): INDIRECT(ADDRESS(ROW($O20),MATCH("Downmove", Price_Header,0)))))</f>
        <v>0.19499999999999978</v>
      </c>
      <c r="R20" s="46">
        <f ca="1">IF(tbl_VIXY[[#This Row],[Avg_Upmove]]="", "", tbl_VIXY[[#This Row],[Avg_Upmove]]/tbl_VIXY[[#This Row],[Avg_Downmove]])</f>
        <v>0.95604395604395565</v>
      </c>
      <c r="S20" s="10">
        <f ca="1">IF(ROW($N20)-4&lt;BB_Periods, "", _xlfn.STDEV.S(INDIRECT(ADDRESS(ROW($F20)-RSI_Periods +1, MATCH("Adj Close", Price_Header,0))): INDIRECT(ADDRESS(ROW($F20),MATCH("Adj Close", Price_Header,0)))))</f>
        <v>0.58007246610580099</v>
      </c>
    </row>
    <row r="21" spans="1:19" x14ac:dyDescent="0.35">
      <c r="A21" s="8">
        <v>44075</v>
      </c>
      <c r="B21" s="10">
        <v>22.01</v>
      </c>
      <c r="C21" s="10">
        <v>22.51</v>
      </c>
      <c r="D21" s="10">
        <v>21.85</v>
      </c>
      <c r="E21" s="10">
        <v>22.37</v>
      </c>
      <c r="F21" s="10">
        <v>22.37</v>
      </c>
      <c r="G21">
        <v>3463700</v>
      </c>
      <c r="H21" s="10">
        <f>IF(tbl_VIXY[[#This Row],[Date]]=$A$5, $F21, EMA_Beta*$H20 + (1-EMA_Beta)*$F21)</f>
        <v>20.944592260643486</v>
      </c>
      <c r="I21" s="46">
        <f ca="1">IF(tbl_VIXY[[#This Row],[RS]]= "", "", 100-(100/(1+tbl_VIXY[[#This Row],[RS]])))</f>
        <v>66.299559471365654</v>
      </c>
      <c r="J21" s="10">
        <f ca="1">IF(ROW($N21)-4&lt;BB_Periods, "", AVERAGE(INDIRECT(ADDRESS(ROW($F21)-RSI_Periods +1, MATCH("Adj Close", Price_Header,0))): INDIRECT(ADDRESS(ROW($F21),MATCH("Adj Close", Price_Header,0)))))</f>
        <v>20.664999999999999</v>
      </c>
      <c r="K21" s="10">
        <f ca="1">IF(tbl_VIXY[[#This Row],[BB_Mean]]="", "", tbl_VIXY[[#This Row],[BB_Mean]]+(BB_Width*tbl_VIXY[[#This Row],[BB_Stdev]]))</f>
        <v>22.172636969157107</v>
      </c>
      <c r="L21" s="10">
        <f ca="1">IF(tbl_VIXY[[#This Row],[BB_Mean]]="", "", tbl_VIXY[[#This Row],[BB_Mean]]-(BB_Width*tbl_VIXY[[#This Row],[BB_Stdev]]))</f>
        <v>19.157363030842891</v>
      </c>
      <c r="M21" s="46">
        <f>IF(ROW(tbl_VIXY[[#This Row],[Adj Close]])=5, 0, $F21-$F20)</f>
        <v>0.40000000000000213</v>
      </c>
      <c r="N21" s="46">
        <f>MAX(tbl_VIXY[[#This Row],[Move]],0)</f>
        <v>0.40000000000000213</v>
      </c>
      <c r="O21" s="46">
        <f>MAX(-tbl_VIXY[[#This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0.21499999999999986</v>
      </c>
      <c r="Q21" s="46">
        <f ca="1">IF(ROW($O21)-5&lt;RSI_Periods, "", AVERAGE(INDIRECT(ADDRESS(ROW($O21)-RSI_Periods +1, MATCH("Downmove", Price_Header,0))): INDIRECT(ADDRESS(ROW($O21),MATCH("Downmove", Price_Header,0)))))</f>
        <v>0.10928571428571411</v>
      </c>
      <c r="R21" s="46">
        <f ca="1">IF(tbl_VIXY[[#This Row],[Avg_Upmove]]="", "", tbl_VIXY[[#This Row],[Avg_Upmove]]/tbl_VIXY[[#This Row],[Avg_Downmove]])</f>
        <v>1.9673202614379104</v>
      </c>
      <c r="S21" s="10">
        <f ca="1">IF(ROW($N21)-4&lt;BB_Periods, "", _xlfn.STDEV.S(INDIRECT(ADDRESS(ROW($F21)-RSI_Periods +1, MATCH("Adj Close", Price_Header,0))): INDIRECT(ADDRESS(ROW($F21),MATCH("Adj Close", Price_Header,0)))))</f>
        <v>0.75381848457855405</v>
      </c>
    </row>
    <row r="22" spans="1:19" x14ac:dyDescent="0.35">
      <c r="A22" s="8">
        <v>44076</v>
      </c>
      <c r="B22" s="10">
        <v>22.3</v>
      </c>
      <c r="C22" s="10">
        <v>23.12</v>
      </c>
      <c r="D22" s="10">
        <v>22.24</v>
      </c>
      <c r="E22" s="10">
        <v>22.97</v>
      </c>
      <c r="F22" s="10">
        <v>22.97</v>
      </c>
      <c r="G22">
        <v>5838300</v>
      </c>
      <c r="H22" s="10">
        <f>IF(tbl_VIXY[[#This Row],[Date]]=$A$5, $F22, EMA_Beta*$H21 + (1-EMA_Beta)*$F22)</f>
        <v>21.147133034579138</v>
      </c>
      <c r="I22" s="46">
        <f ca="1">IF(tbl_VIXY[[#This Row],[RS]]= "", "", 100-(100/(1+tbl_VIXY[[#This Row],[RS]])))</f>
        <v>70.233463035019469</v>
      </c>
      <c r="J22" s="10">
        <f ca="1">IF(ROW($N22)-4&lt;BB_Periods, "", AVERAGE(INDIRECT(ADDRESS(ROW($F22)-RSI_Periods +1, MATCH("Adj Close", Price_Header,0))): INDIRECT(ADDRESS(ROW($F22),MATCH("Adj Close", Price_Header,0)))))</f>
        <v>20.813571428571429</v>
      </c>
      <c r="K22" s="10">
        <f ca="1">IF(tbl_VIXY[[#This Row],[BB_Mean]]="", "", tbl_VIXY[[#This Row],[BB_Mean]]+(BB_Width*tbl_VIXY[[#This Row],[BB_Stdev]]))</f>
        <v>22.762182091706453</v>
      </c>
      <c r="L22" s="10">
        <f ca="1">IF(tbl_VIXY[[#This Row],[BB_Mean]]="", "", tbl_VIXY[[#This Row],[BB_Mean]]-(BB_Width*tbl_VIXY[[#This Row],[BB_Stdev]]))</f>
        <v>18.864960765436404</v>
      </c>
      <c r="M22" s="46">
        <f>IF(ROW(tbl_VIXY[[#This Row],[Adj Close]])=5, 0, $F22-$F21)</f>
        <v>0.59999999999999787</v>
      </c>
      <c r="N22" s="46">
        <f>MAX(tbl_VIXY[[#This Row],[Move]],0)</f>
        <v>0.59999999999999787</v>
      </c>
      <c r="O22" s="46">
        <f>MAX(-tbl_VIXY[[#This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0.25785714285714256</v>
      </c>
      <c r="Q22" s="46">
        <f ca="1">IF(ROW($O22)-5&lt;RSI_Periods, "", AVERAGE(INDIRECT(ADDRESS(ROW($O22)-RSI_Periods +1, MATCH("Downmove", Price_Header,0))): INDIRECT(ADDRESS(ROW($O22),MATCH("Downmove", Price_Header,0)))))</f>
        <v>0.10928571428571411</v>
      </c>
      <c r="R22" s="46">
        <f ca="1">IF(tbl_VIXY[[#This Row],[Avg_Upmove]]="", "", tbl_VIXY[[#This Row],[Avg_Upmove]]/tbl_VIXY[[#This Row],[Avg_Downmove]])</f>
        <v>2.3594771241830075</v>
      </c>
      <c r="S22" s="10">
        <f ca="1">IF(ROW($N22)-4&lt;BB_Periods, "", _xlfn.STDEV.S(INDIRECT(ADDRESS(ROW($F22)-RSI_Periods +1, MATCH("Adj Close", Price_Header,0))): INDIRECT(ADDRESS(ROW($F22),MATCH("Adj Close", Price_Header,0)))))</f>
        <v>0.97430533156751176</v>
      </c>
    </row>
    <row r="23" spans="1:19" x14ac:dyDescent="0.35">
      <c r="A23" s="8">
        <v>44077</v>
      </c>
      <c r="B23" s="10">
        <v>23.19</v>
      </c>
      <c r="C23" s="10">
        <v>26.83</v>
      </c>
      <c r="D23" s="10">
        <v>22.39</v>
      </c>
      <c r="E23" s="10">
        <v>26.01</v>
      </c>
      <c r="F23" s="10">
        <v>26.01</v>
      </c>
      <c r="G23">
        <v>20099000</v>
      </c>
      <c r="H23" s="10">
        <f>IF(tbl_VIXY[[#This Row],[Date]]=$A$5, $F23, EMA_Beta*$H22 + (1-EMA_Beta)*$F23)</f>
        <v>21.633419731121222</v>
      </c>
      <c r="I23" s="46">
        <f ca="1">IF(tbl_VIXY[[#This Row],[RS]]= "", "", 100-(100/(1+tbl_VIXY[[#This Row],[RS]])))</f>
        <v>81.250000000000028</v>
      </c>
      <c r="J23" s="10">
        <f ca="1">IF(ROW($N23)-4&lt;BB_Periods, "", AVERAGE(INDIRECT(ADDRESS(ROW($F23)-RSI_Periods +1, MATCH("Adj Close", Price_Header,0))): INDIRECT(ADDRESS(ROW($F23),MATCH("Adj Close", Price_Header,0)))))</f>
        <v>21.177857142857142</v>
      </c>
      <c r="K23" s="10">
        <f ca="1">IF(tbl_VIXY[[#This Row],[BB_Mean]]="", "", tbl_VIXY[[#This Row],[BB_Mean]]+(BB_Width*tbl_VIXY[[#This Row],[BB_Stdev]]))</f>
        <v>24.573611764520706</v>
      </c>
      <c r="L23" s="10">
        <f ca="1">IF(tbl_VIXY[[#This Row],[BB_Mean]]="", "", tbl_VIXY[[#This Row],[BB_Mean]]-(BB_Width*tbl_VIXY[[#This Row],[BB_Stdev]]))</f>
        <v>17.782102521193579</v>
      </c>
      <c r="M23" s="46">
        <f>IF(ROW(tbl_VIXY[[#This Row],[Adj Close]])=5, 0, $F23-$F22)</f>
        <v>3.0400000000000027</v>
      </c>
      <c r="N23" s="46">
        <f>MAX(tbl_VIXY[[#This Row],[Move]],0)</f>
        <v>3.0400000000000027</v>
      </c>
      <c r="O23" s="46">
        <f>MAX(-tbl_VIXY[[#This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0.47357142857142848</v>
      </c>
      <c r="Q23" s="46">
        <f ca="1">IF(ROW($O23)-5&lt;RSI_Periods, "", AVERAGE(INDIRECT(ADDRESS(ROW($O23)-RSI_Periods +1, MATCH("Downmove", Price_Header,0))): INDIRECT(ADDRESS(ROW($O23),MATCH("Downmove", Price_Header,0)))))</f>
        <v>0.10928571428571411</v>
      </c>
      <c r="R23" s="46">
        <f ca="1">IF(tbl_VIXY[[#This Row],[Avg_Upmove]]="", "", tbl_VIXY[[#This Row],[Avg_Upmove]]/tbl_VIXY[[#This Row],[Avg_Downmove]])</f>
        <v>4.3333333333333393</v>
      </c>
      <c r="S23" s="10">
        <f ca="1">IF(ROW($N23)-4&lt;BB_Periods, "", _xlfn.STDEV.S(INDIRECT(ADDRESS(ROW($F23)-RSI_Periods +1, MATCH("Adj Close", Price_Header,0))): INDIRECT(ADDRESS(ROW($F23),MATCH("Adj Close", Price_Header,0)))))</f>
        <v>1.6978773108317822</v>
      </c>
    </row>
    <row r="24" spans="1:19" x14ac:dyDescent="0.35">
      <c r="A24" s="8">
        <v>44078</v>
      </c>
      <c r="B24" s="10">
        <v>25.37</v>
      </c>
      <c r="C24" s="10">
        <v>27.92</v>
      </c>
      <c r="D24" s="10">
        <v>23.39</v>
      </c>
      <c r="E24" s="10">
        <v>23.84</v>
      </c>
      <c r="F24" s="10">
        <v>23.84</v>
      </c>
      <c r="G24">
        <v>17918700</v>
      </c>
      <c r="H24" s="10">
        <f>IF(tbl_VIXY[[#This Row],[Date]]=$A$5, $F24, EMA_Beta*$H23 + (1-EMA_Beta)*$F24)</f>
        <v>21.854077758009101</v>
      </c>
      <c r="I24" s="46">
        <f ca="1">IF(tbl_VIXY[[#This Row],[RS]]= "", "", 100-(100/(1+tbl_VIXY[[#This Row],[RS]])))</f>
        <v>69.569779643231911</v>
      </c>
      <c r="J24" s="10">
        <f ca="1">IF(ROW($N24)-4&lt;BB_Periods, "", AVERAGE(INDIRECT(ADDRESS(ROW($F24)-RSI_Periods +1, MATCH("Adj Close", Price_Header,0))): INDIRECT(ADDRESS(ROW($F24),MATCH("Adj Close", Price_Header,0)))))</f>
        <v>21.444285714285712</v>
      </c>
      <c r="K24" s="10">
        <f ca="1">IF(tbl_VIXY[[#This Row],[BB_Mean]]="", "", tbl_VIXY[[#This Row],[BB_Mean]]+(BB_Width*tbl_VIXY[[#This Row],[BB_Stdev]]))</f>
        <v>25.057472794845047</v>
      </c>
      <c r="L24" s="10">
        <f ca="1">IF(tbl_VIXY[[#This Row],[BB_Mean]]="", "", tbl_VIXY[[#This Row],[BB_Mean]]-(BB_Width*tbl_VIXY[[#This Row],[BB_Stdev]]))</f>
        <v>17.831098633726377</v>
      </c>
      <c r="M24" s="46">
        <f>IF(ROW(tbl_VIXY[[#This Row],[Adj Close]])=5, 0, $F24-$F23)</f>
        <v>-2.1700000000000017</v>
      </c>
      <c r="N24" s="46">
        <f>MAX(tbl_VIXY[[#This Row],[Move]],0)</f>
        <v>0</v>
      </c>
      <c r="O24" s="46">
        <f>MAX(-tbl_VIXY[[#This Row],[Move]],0)</f>
        <v>2.1700000000000017</v>
      </c>
      <c r="P24" s="46">
        <f ca="1">IF(ROW($N24)-5&lt;RSI_Periods, "", AVERAGE(INDIRECT(ADDRESS(ROW($N24)-RSI_Periods +1, MATCH("Upmove", Price_Header,0))): INDIRECT(ADDRESS(ROW($N24),MATCH("Upmove", Price_Header,0)))))</f>
        <v>0.47357142857142848</v>
      </c>
      <c r="Q24" s="46">
        <f ca="1">IF(ROW($O24)-5&lt;RSI_Periods, "", AVERAGE(INDIRECT(ADDRESS(ROW($O24)-RSI_Periods +1, MATCH("Downmove", Price_Header,0))): INDIRECT(ADDRESS(ROW($O24),MATCH("Downmove", Price_Header,0)))))</f>
        <v>0.20714285714285705</v>
      </c>
      <c r="R24" s="46">
        <f ca="1">IF(tbl_VIXY[[#This Row],[Avg_Upmove]]="", "", tbl_VIXY[[#This Row],[Avg_Upmove]]/tbl_VIXY[[#This Row],[Avg_Downmove]])</f>
        <v>2.2862068965517248</v>
      </c>
      <c r="S24" s="10">
        <f ca="1">IF(ROW($N24)-4&lt;BB_Periods, "", _xlfn.STDEV.S(INDIRECT(ADDRESS(ROW($F24)-RSI_Periods +1, MATCH("Adj Close", Price_Header,0))): INDIRECT(ADDRESS(ROW($F24),MATCH("Adj Close", Price_Header,0)))))</f>
        <v>1.8065935402796671</v>
      </c>
    </row>
    <row r="25" spans="1:19" x14ac:dyDescent="0.35">
      <c r="A25" s="8">
        <v>44082</v>
      </c>
      <c r="B25" s="10">
        <v>25.64</v>
      </c>
      <c r="C25" s="10">
        <v>25.8</v>
      </c>
      <c r="D25" s="10">
        <v>23.11</v>
      </c>
      <c r="E25" s="10">
        <v>23.16</v>
      </c>
      <c r="F25" s="10">
        <v>23.16</v>
      </c>
      <c r="G25">
        <v>7665300</v>
      </c>
      <c r="H25" s="10">
        <f>IF(tbl_VIXY[[#This Row],[Date]]=$A$5, $F25, EMA_Beta*$H24 + (1-EMA_Beta)*$F25)</f>
        <v>21.984669982208189</v>
      </c>
      <c r="I25" s="46">
        <f ca="1">IF(tbl_VIXY[[#This Row],[RS]]= "", "", 100-(100/(1+tbl_VIXY[[#This Row],[RS]])))</f>
        <v>66.167664670658667</v>
      </c>
      <c r="J25" s="10">
        <f ca="1">IF(ROW($N25)-4&lt;BB_Periods, "", AVERAGE(INDIRECT(ADDRESS(ROW($F25)-RSI_Periods +1, MATCH("Adj Close", Price_Header,0))): INDIRECT(ADDRESS(ROW($F25),MATCH("Adj Close", Price_Header,0)))))</f>
        <v>21.675714285714289</v>
      </c>
      <c r="K25" s="10">
        <f ca="1">IF(tbl_VIXY[[#This Row],[BB_Mean]]="", "", tbl_VIXY[[#This Row],[BB_Mean]]+(BB_Width*tbl_VIXY[[#This Row],[BB_Stdev]]))</f>
        <v>25.283378898180914</v>
      </c>
      <c r="L25" s="10">
        <f ca="1">IF(tbl_VIXY[[#This Row],[BB_Mean]]="", "", tbl_VIXY[[#This Row],[BB_Mean]]-(BB_Width*tbl_VIXY[[#This Row],[BB_Stdev]]))</f>
        <v>18.068049673247664</v>
      </c>
      <c r="M25" s="46">
        <f>IF(ROW(tbl_VIXY[[#This Row],[Adj Close]])=5, 0, $F25-$F24)</f>
        <v>-0.67999999999999972</v>
      </c>
      <c r="N25" s="46">
        <f>MAX(tbl_VIXY[[#This Row],[Move]],0)</f>
        <v>0</v>
      </c>
      <c r="O25" s="46">
        <f>MAX(-tbl_VIXY[[#This Row],[Move]],0)</f>
        <v>0.67999999999999972</v>
      </c>
      <c r="P25" s="46">
        <f ca="1">IF(ROW($N25)-5&lt;RSI_Periods, "", AVERAGE(INDIRECT(ADDRESS(ROW($N25)-RSI_Periods +1, MATCH("Upmove", Price_Header,0))): INDIRECT(ADDRESS(ROW($N25),MATCH("Upmove", Price_Header,0)))))</f>
        <v>0.47357142857142848</v>
      </c>
      <c r="Q25" s="46">
        <f ca="1">IF(ROW($O25)-5&lt;RSI_Periods, "", AVERAGE(INDIRECT(ADDRESS(ROW($O25)-RSI_Periods +1, MATCH("Downmove", Price_Header,0))): INDIRECT(ADDRESS(ROW($O25),MATCH("Downmove", Price_Header,0)))))</f>
        <v>0.24214285714285719</v>
      </c>
      <c r="R25" s="46">
        <f ca="1">IF(tbl_VIXY[[#This Row],[Avg_Upmove]]="", "", tbl_VIXY[[#This Row],[Avg_Upmove]]/tbl_VIXY[[#This Row],[Avg_Downmove]])</f>
        <v>1.9557522123893798</v>
      </c>
      <c r="S25" s="10">
        <f ca="1">IF(ROW($N25)-4&lt;BB_Periods, "", _xlfn.STDEV.S(INDIRECT(ADDRESS(ROW($F25)-RSI_Periods +1, MATCH("Adj Close", Price_Header,0))): INDIRECT(ADDRESS(ROW($F25),MATCH("Adj Close", Price_Header,0)))))</f>
        <v>1.8038323062333126</v>
      </c>
    </row>
    <row r="26" spans="1:19" x14ac:dyDescent="0.35">
      <c r="A26" s="8">
        <v>44083</v>
      </c>
      <c r="B26" s="10">
        <v>22.58</v>
      </c>
      <c r="C26" s="10">
        <v>22.82</v>
      </c>
      <c r="D26" s="10">
        <v>21.6</v>
      </c>
      <c r="E26" s="10">
        <v>21.99</v>
      </c>
      <c r="F26" s="10">
        <v>21.99</v>
      </c>
      <c r="G26">
        <v>6123300</v>
      </c>
      <c r="H26" s="10">
        <f>IF(tbl_VIXY[[#This Row],[Date]]=$A$5, $F26, EMA_Beta*$H25 + (1-EMA_Beta)*$F26)</f>
        <v>21.985202983987367</v>
      </c>
      <c r="I26" s="46">
        <f ca="1">IF(tbl_VIXY[[#This Row],[RS]]= "", "", 100-(100/(1+tbl_VIXY[[#This Row],[RS]])))</f>
        <v>57.777777777777771</v>
      </c>
      <c r="J26" s="10">
        <f ca="1">IF(ROW($N26)-4&lt;BB_Periods, "", AVERAGE(INDIRECT(ADDRESS(ROW($F26)-RSI_Periods +1, MATCH("Adj Close", Price_Header,0))): INDIRECT(ADDRESS(ROW($F26),MATCH("Adj Close", Price_Header,0)))))</f>
        <v>21.795714285714286</v>
      </c>
      <c r="K26" s="10">
        <f ca="1">IF(tbl_VIXY[[#This Row],[BB_Mean]]="", "", tbl_VIXY[[#This Row],[BB_Mean]]+(BB_Width*tbl_VIXY[[#This Row],[BB_Stdev]]))</f>
        <v>25.318455476109275</v>
      </c>
      <c r="L26" s="10">
        <f ca="1">IF(tbl_VIXY[[#This Row],[BB_Mean]]="", "", tbl_VIXY[[#This Row],[BB_Mean]]-(BB_Width*tbl_VIXY[[#This Row],[BB_Stdev]]))</f>
        <v>18.272973095319298</v>
      </c>
      <c r="M26" s="46">
        <f>IF(ROW(tbl_VIXY[[#This Row],[Adj Close]])=5, 0, $F26-$F25)</f>
        <v>-1.1700000000000017</v>
      </c>
      <c r="N26" s="46">
        <f>MAX(tbl_VIXY[[#This Row],[Move]],0)</f>
        <v>0</v>
      </c>
      <c r="O26" s="46">
        <f>MAX(-tbl_VIXY[[#This Row],[Move]],0)</f>
        <v>1.1700000000000017</v>
      </c>
      <c r="P26" s="46">
        <f ca="1">IF(ROW($N26)-5&lt;RSI_Periods, "", AVERAGE(INDIRECT(ADDRESS(ROW($N26)-RSI_Periods +1, MATCH("Upmove", Price_Header,0))): INDIRECT(ADDRESS(ROW($N26),MATCH("Upmove", Price_Header,0)))))</f>
        <v>0.44571428571428584</v>
      </c>
      <c r="Q26" s="46">
        <f ca="1">IF(ROW($O26)-5&lt;RSI_Periods, "", AVERAGE(INDIRECT(ADDRESS(ROW($O26)-RSI_Periods +1, MATCH("Downmove", Price_Header,0))): INDIRECT(ADDRESS(ROW($O26),MATCH("Downmove", Price_Header,0)))))</f>
        <v>0.3257142857142859</v>
      </c>
      <c r="R26" s="46">
        <f ca="1">IF(tbl_VIXY[[#This Row],[Avg_Upmove]]="", "", tbl_VIXY[[#This Row],[Avg_Upmove]]/tbl_VIXY[[#This Row],[Avg_Downmove]])</f>
        <v>1.3684210526315785</v>
      </c>
      <c r="S26" s="10">
        <f ca="1">IF(ROW($N26)-4&lt;BB_Periods, "", _xlfn.STDEV.S(INDIRECT(ADDRESS(ROW($F26)-RSI_Periods +1, MATCH("Adj Close", Price_Header,0))): INDIRECT(ADDRESS(ROW($F26),MATCH("Adj Close", Price_Header,0)))))</f>
        <v>1.7613705951974945</v>
      </c>
    </row>
    <row r="27" spans="1:19" x14ac:dyDescent="0.35">
      <c r="A27" s="8">
        <v>44084</v>
      </c>
      <c r="B27" s="10">
        <v>21.78</v>
      </c>
      <c r="C27" s="10">
        <v>22.27</v>
      </c>
      <c r="D27" s="10">
        <v>21.61</v>
      </c>
      <c r="E27" s="10">
        <v>22.24</v>
      </c>
      <c r="F27" s="10">
        <v>22.24</v>
      </c>
      <c r="G27">
        <v>9127300</v>
      </c>
      <c r="H27" s="10">
        <f>IF(tbl_VIXY[[#This Row],[Date]]=$A$5, $F27, EMA_Beta*$H26 + (1-EMA_Beta)*$F27)</f>
        <v>22.01068268558863</v>
      </c>
      <c r="I27" s="46">
        <f ca="1">IF(tbl_VIXY[[#This Row],[RS]]= "", "", 100-(100/(1+tbl_VIXY[[#This Row],[RS]])))</f>
        <v>59.926131117266841</v>
      </c>
      <c r="J27" s="10">
        <f ca="1">IF(ROW($N27)-4&lt;BB_Periods, "", AVERAGE(INDIRECT(ADDRESS(ROW($F27)-RSI_Periods +1, MATCH("Adj Close", Price_Header,0))): INDIRECT(ADDRESS(ROW($F27),MATCH("Adj Close", Price_Header,0)))))</f>
        <v>21.949285714285715</v>
      </c>
      <c r="K27" s="10">
        <f ca="1">IF(tbl_VIXY[[#This Row],[BB_Mean]]="", "", tbl_VIXY[[#This Row],[BB_Mean]]+(BB_Width*tbl_VIXY[[#This Row],[BB_Stdev]]))</f>
        <v>25.336560219168451</v>
      </c>
      <c r="L27" s="10">
        <f ca="1">IF(tbl_VIXY[[#This Row],[BB_Mean]]="", "", tbl_VIXY[[#This Row],[BB_Mean]]-(BB_Width*tbl_VIXY[[#This Row],[BB_Stdev]]))</f>
        <v>18.562011209402979</v>
      </c>
      <c r="M27" s="46">
        <f>IF(ROW(tbl_VIXY[[#This Row],[Adj Close]])=5, 0, $F27-$F26)</f>
        <v>0.25</v>
      </c>
      <c r="N27" s="46">
        <f>MAX(tbl_VIXY[[#This Row],[Move]],0)</f>
        <v>0.25</v>
      </c>
      <c r="O27" s="46">
        <f>MAX(-tbl_VIXY[[#This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0.46357142857142869</v>
      </c>
      <c r="Q27" s="46">
        <f ca="1">IF(ROW($O27)-5&lt;RSI_Periods, "", AVERAGE(INDIRECT(ADDRESS(ROW($O27)-RSI_Periods +1, MATCH("Downmove", Price_Header,0))): INDIRECT(ADDRESS(ROW($O27),MATCH("Downmove", Price_Header,0)))))</f>
        <v>0.31000000000000022</v>
      </c>
      <c r="R27" s="46">
        <f ca="1">IF(tbl_VIXY[[#This Row],[Avg_Upmove]]="", "", tbl_VIXY[[#This Row],[Avg_Upmove]]/tbl_VIXY[[#This Row],[Avg_Downmove]])</f>
        <v>1.4953917050691237</v>
      </c>
      <c r="S27" s="10">
        <f ca="1">IF(ROW($N27)-4&lt;BB_Periods, "", _xlfn.STDEV.S(INDIRECT(ADDRESS(ROW($F27)-RSI_Periods +1, MATCH("Adj Close", Price_Header,0))): INDIRECT(ADDRESS(ROW($F27),MATCH("Adj Close", Price_Header,0)))))</f>
        <v>1.6936372524413676</v>
      </c>
    </row>
    <row r="28" spans="1:19" x14ac:dyDescent="0.35">
      <c r="A28" s="8">
        <v>44085</v>
      </c>
      <c r="B28" s="10">
        <v>21.65</v>
      </c>
      <c r="C28" s="10">
        <v>22.27</v>
      </c>
      <c r="D28" s="10">
        <v>20.88</v>
      </c>
      <c r="E28" s="10">
        <v>20.88</v>
      </c>
      <c r="F28" s="10">
        <v>20.88</v>
      </c>
      <c r="G28">
        <v>6625900</v>
      </c>
      <c r="H28" s="10">
        <f>IF(tbl_VIXY[[#This Row],[Date]]=$A$5, $F28, EMA_Beta*$H27 + (1-EMA_Beta)*$F28)</f>
        <v>21.897614417029768</v>
      </c>
      <c r="I28" s="46">
        <f ca="1">IF(tbl_VIXY[[#This Row],[RS]]= "", "", 100-(100/(1+tbl_VIXY[[#This Row],[RS]])))</f>
        <v>52.892561983471076</v>
      </c>
      <c r="J28" s="10">
        <f ca="1">IF(ROW($N28)-4&lt;BB_Periods, "", AVERAGE(INDIRECT(ADDRESS(ROW($F28)-RSI_Periods +1, MATCH("Adj Close", Price_Header,0))): INDIRECT(ADDRESS(ROW($F28),MATCH("Adj Close", Price_Header,0)))))</f>
        <v>21.999285714285715</v>
      </c>
      <c r="K28" s="10">
        <f ca="1">IF(tbl_VIXY[[#This Row],[BB_Mean]]="", "", tbl_VIXY[[#This Row],[BB_Mean]]+(BB_Width*tbl_VIXY[[#This Row],[BB_Stdev]]))</f>
        <v>25.293443379801246</v>
      </c>
      <c r="L28" s="10">
        <f ca="1">IF(tbl_VIXY[[#This Row],[BB_Mean]]="", "", tbl_VIXY[[#This Row],[BB_Mean]]-(BB_Width*tbl_VIXY[[#This Row],[BB_Stdev]]))</f>
        <v>18.705128048770185</v>
      </c>
      <c r="M28" s="46">
        <f>IF(ROW(tbl_VIXY[[#This Row],[Adj Close]])=5, 0, $F28-$F27)</f>
        <v>-1.3599999999999994</v>
      </c>
      <c r="N28" s="46">
        <f>MAX(tbl_VIXY[[#This Row],[Move]],0)</f>
        <v>0</v>
      </c>
      <c r="O28" s="46">
        <f>MAX(-tbl_VIXY[[#This Row],[Move]],0)</f>
        <v>1.3599999999999994</v>
      </c>
      <c r="P28" s="46">
        <f ca="1">IF(ROW($N28)-5&lt;RSI_Periods, "", AVERAGE(INDIRECT(ADDRESS(ROW($N28)-RSI_Periods +1, MATCH("Upmove", Price_Header,0))): INDIRECT(ADDRESS(ROW($N28),MATCH("Upmove", Price_Header,0)))))</f>
        <v>0.4571428571428573</v>
      </c>
      <c r="Q28" s="46">
        <f ca="1">IF(ROW($O28)-5&lt;RSI_Periods, "", AVERAGE(INDIRECT(ADDRESS(ROW($O28)-RSI_Periods +1, MATCH("Downmove", Price_Header,0))): INDIRECT(ADDRESS(ROW($O28),MATCH("Downmove", Price_Header,0)))))</f>
        <v>0.40714285714285736</v>
      </c>
      <c r="R28" s="46">
        <f ca="1">IF(tbl_VIXY[[#This Row],[Avg_Upmove]]="", "", tbl_VIXY[[#This Row],[Avg_Upmove]]/tbl_VIXY[[#This Row],[Avg_Downmove]])</f>
        <v>1.1228070175438594</v>
      </c>
      <c r="S28" s="10">
        <f ca="1">IF(ROW($N28)-4&lt;BB_Periods, "", _xlfn.STDEV.S(INDIRECT(ADDRESS(ROW($F28)-RSI_Periods +1, MATCH("Adj Close", Price_Header,0))): INDIRECT(ADDRESS(ROW($F28),MATCH("Adj Close", Price_Header,0)))))</f>
        <v>1.6470788327577657</v>
      </c>
    </row>
    <row r="29" spans="1:19" x14ac:dyDescent="0.35">
      <c r="A29" s="8">
        <v>44088</v>
      </c>
      <c r="B29" s="10">
        <v>20.66</v>
      </c>
      <c r="C29" s="10">
        <v>20.86</v>
      </c>
      <c r="D29" s="10">
        <v>20.27</v>
      </c>
      <c r="E29" s="10">
        <v>20.55</v>
      </c>
      <c r="F29" s="10">
        <v>20.55</v>
      </c>
      <c r="G29">
        <v>4243500</v>
      </c>
      <c r="H29" s="10">
        <f>IF(tbl_VIXY[[#This Row],[Date]]=$A$5, $F29, EMA_Beta*$H28 + (1-EMA_Beta)*$F29)</f>
        <v>21.762852975326791</v>
      </c>
      <c r="I29" s="46">
        <f ca="1">IF(tbl_VIXY[[#This Row],[RS]]= "", "", 100-(100/(1+tbl_VIXY[[#This Row],[RS]])))</f>
        <v>51.779935275080909</v>
      </c>
      <c r="J29" s="10">
        <f ca="1">IF(ROW($N29)-4&lt;BB_Periods, "", AVERAGE(INDIRECT(ADDRESS(ROW($F29)-RSI_Periods +1, MATCH("Adj Close", Price_Header,0))): INDIRECT(ADDRESS(ROW($F29),MATCH("Adj Close", Price_Header,0)))))</f>
        <v>22.030714285714286</v>
      </c>
      <c r="K29" s="10">
        <f ca="1">IF(tbl_VIXY[[#This Row],[BB_Mean]]="", "", tbl_VIXY[[#This Row],[BB_Mean]]+(BB_Width*tbl_VIXY[[#This Row],[BB_Stdev]]))</f>
        <v>25.254877521567671</v>
      </c>
      <c r="L29" s="10">
        <f ca="1">IF(tbl_VIXY[[#This Row],[BB_Mean]]="", "", tbl_VIXY[[#This Row],[BB_Mean]]-(BB_Width*tbl_VIXY[[#This Row],[BB_Stdev]]))</f>
        <v>18.8065510498609</v>
      </c>
      <c r="M29" s="46">
        <f>IF(ROW(tbl_VIXY[[#This Row],[Adj Close]])=5, 0, $F29-$F28)</f>
        <v>-0.32999999999999829</v>
      </c>
      <c r="N29" s="46">
        <f>MAX(tbl_VIXY[[#This Row],[Move]],0)</f>
        <v>0</v>
      </c>
      <c r="O29" s="46">
        <f>MAX(-tbl_VIXY[[#This Row],[Move]],0)</f>
        <v>0.32999999999999829</v>
      </c>
      <c r="P29" s="46">
        <f ca="1">IF(ROW($N29)-5&lt;RSI_Periods, "", AVERAGE(INDIRECT(ADDRESS(ROW($N29)-RSI_Periods +1, MATCH("Upmove", Price_Header,0))): INDIRECT(ADDRESS(ROW($N29),MATCH("Upmove", Price_Header,0)))))</f>
        <v>0.4571428571428573</v>
      </c>
      <c r="Q29" s="46">
        <f ca="1">IF(ROW($O29)-5&lt;RSI_Periods, "", AVERAGE(INDIRECT(ADDRESS(ROW($O29)-RSI_Periods +1, MATCH("Downmove", Price_Header,0))): INDIRECT(ADDRESS(ROW($O29),MATCH("Downmove", Price_Header,0)))))</f>
        <v>0.42571428571428577</v>
      </c>
      <c r="R29" s="46">
        <f ca="1">IF(tbl_VIXY[[#This Row],[Avg_Upmove]]="", "", tbl_VIXY[[#This Row],[Avg_Upmove]]/tbl_VIXY[[#This Row],[Avg_Downmove]])</f>
        <v>1.0738255033557049</v>
      </c>
      <c r="S29" s="10">
        <f ca="1">IF(ROW($N29)-4&lt;BB_Periods, "", _xlfn.STDEV.S(INDIRECT(ADDRESS(ROW($F29)-RSI_Periods +1, MATCH("Adj Close", Price_Header,0))): INDIRECT(ADDRESS(ROW($F29),MATCH("Adj Close", Price_Header,0)))))</f>
        <v>1.6120816179266932</v>
      </c>
    </row>
    <row r="30" spans="1:19" x14ac:dyDescent="0.35">
      <c r="A30" s="8">
        <v>44089</v>
      </c>
      <c r="B30" s="10">
        <v>20.350000000000001</v>
      </c>
      <c r="C30" s="10">
        <v>20.89</v>
      </c>
      <c r="D30" s="10">
        <v>20.25</v>
      </c>
      <c r="E30" s="10">
        <v>20.54</v>
      </c>
      <c r="F30" s="10">
        <v>20.54</v>
      </c>
      <c r="G30">
        <v>4010000</v>
      </c>
      <c r="H30" s="10">
        <f>IF(tbl_VIXY[[#This Row],[Date]]=$A$5, $F30, EMA_Beta*$H29 + (1-EMA_Beta)*$F30)</f>
        <v>21.64056767779411</v>
      </c>
      <c r="I30" s="46">
        <f ca="1">IF(tbl_VIXY[[#This Row],[RS]]= "", "", 100-(100/(1+tbl_VIXY[[#This Row],[RS]])))</f>
        <v>52.330335241210143</v>
      </c>
      <c r="J30" s="10">
        <f ca="1">IF(ROW($N30)-4&lt;BB_Periods, "", AVERAGE(INDIRECT(ADDRESS(ROW($F30)-RSI_Periods +1, MATCH("Adj Close", Price_Header,0))): INDIRECT(ADDRESS(ROW($F30),MATCH("Adj Close", Price_Header,0)))))</f>
        <v>22.071428571428577</v>
      </c>
      <c r="K30" s="10">
        <f ca="1">IF(tbl_VIXY[[#This Row],[BB_Mean]]="", "", tbl_VIXY[[#This Row],[BB_Mean]]+(BB_Width*tbl_VIXY[[#This Row],[BB_Stdev]]))</f>
        <v>25.196364087246781</v>
      </c>
      <c r="L30" s="10">
        <f ca="1">IF(tbl_VIXY[[#This Row],[BB_Mean]]="", "", tbl_VIXY[[#This Row],[BB_Mean]]-(BB_Width*tbl_VIXY[[#This Row],[BB_Stdev]]))</f>
        <v>18.946493055610372</v>
      </c>
      <c r="M30" s="46">
        <f>IF(ROW(tbl_VIXY[[#This Row],[Adj Close]])=5, 0, $F30-$F29)</f>
        <v>-1.0000000000001563E-2</v>
      </c>
      <c r="N30" s="46">
        <f>MAX(tbl_VIXY[[#This Row],[Move]],0)</f>
        <v>0</v>
      </c>
      <c r="O30" s="46">
        <f>MAX(-tbl_VIXY[[#This Row],[Move]],0)</f>
        <v>1.0000000000001563E-2</v>
      </c>
      <c r="P30" s="46">
        <f ca="1">IF(ROW($N30)-5&lt;RSI_Periods, "", AVERAGE(INDIRECT(ADDRESS(ROW($N30)-RSI_Periods +1, MATCH("Upmove", Price_Header,0))): INDIRECT(ADDRESS(ROW($N30),MATCH("Upmove", Price_Header,0)))))</f>
        <v>0.4571428571428573</v>
      </c>
      <c r="Q30" s="46">
        <f ca="1">IF(ROW($O30)-5&lt;RSI_Periods, "", AVERAGE(INDIRECT(ADDRESS(ROW($O30)-RSI_Periods +1, MATCH("Downmove", Price_Header,0))): INDIRECT(ADDRESS(ROW($O30),MATCH("Downmove", Price_Header,0)))))</f>
        <v>0.41642857142857154</v>
      </c>
      <c r="R30" s="46">
        <f ca="1">IF(tbl_VIXY[[#This Row],[Avg_Upmove]]="", "", tbl_VIXY[[#This Row],[Avg_Upmove]]/tbl_VIXY[[#This Row],[Avg_Downmove]])</f>
        <v>1.097770154373928</v>
      </c>
      <c r="S30" s="10">
        <f ca="1">IF(ROW($N30)-4&lt;BB_Periods, "", _xlfn.STDEV.S(INDIRECT(ADDRESS(ROW($F30)-RSI_Periods +1, MATCH("Adj Close", Price_Header,0))): INDIRECT(ADDRESS(ROW($F30),MATCH("Adj Close", Price_Header,0)))))</f>
        <v>1.562467757909102</v>
      </c>
    </row>
    <row r="31" spans="1:19" x14ac:dyDescent="0.35">
      <c r="A31" s="8">
        <v>44090</v>
      </c>
      <c r="B31" s="10">
        <v>20.38</v>
      </c>
      <c r="C31" s="10">
        <v>20.48</v>
      </c>
      <c r="D31" s="10">
        <v>19.899999999999999</v>
      </c>
      <c r="E31" s="10">
        <v>20.420000000000002</v>
      </c>
      <c r="F31" s="10">
        <v>20.420000000000002</v>
      </c>
      <c r="G31">
        <v>5204300</v>
      </c>
      <c r="H31" s="10">
        <f>IF(tbl_VIXY[[#This Row],[Date]]=$A$5, $F31, EMA_Beta*$H30 + (1-EMA_Beta)*$F31)</f>
        <v>21.518510910014697</v>
      </c>
      <c r="I31" s="46">
        <f ca="1">IF(tbl_VIXY[[#This Row],[RS]]= "", "", 100-(100/(1+tbl_VIXY[[#This Row],[RS]])))</f>
        <v>49.957947855340635</v>
      </c>
      <c r="J31" s="10">
        <f ca="1">IF(ROW($N31)-4&lt;BB_Periods, "", AVERAGE(INDIRECT(ADDRESS(ROW($F31)-RSI_Periods +1, MATCH("Adj Close", Price_Header,0))): INDIRECT(ADDRESS(ROW($F31),MATCH("Adj Close", Price_Header,0)))))</f>
        <v>22.070714285714292</v>
      </c>
      <c r="K31" s="10">
        <f ca="1">IF(tbl_VIXY[[#This Row],[BB_Mean]]="", "", tbl_VIXY[[#This Row],[BB_Mean]]+(BB_Width*tbl_VIXY[[#This Row],[BB_Stdev]]))</f>
        <v>25.19727016213033</v>
      </c>
      <c r="L31" s="10">
        <f ca="1">IF(tbl_VIXY[[#This Row],[BB_Mean]]="", "", tbl_VIXY[[#This Row],[BB_Mean]]-(BB_Width*tbl_VIXY[[#This Row],[BB_Stdev]]))</f>
        <v>18.944158409298254</v>
      </c>
      <c r="M31" s="46">
        <f>IF(ROW(tbl_VIXY[[#This Row],[Adj Close]])=5, 0, $F31-$F30)</f>
        <v>-0.11999999999999744</v>
      </c>
      <c r="N31" s="46">
        <f>MAX(tbl_VIXY[[#This Row],[Move]],0)</f>
        <v>0</v>
      </c>
      <c r="O31" s="46">
        <f>MAX(-tbl_VIXY[[#This Row],[Move]],0)</f>
        <v>0.11999999999999744</v>
      </c>
      <c r="P31" s="46">
        <f ca="1">IF(ROW($N31)-5&lt;RSI_Periods, "", AVERAGE(INDIRECT(ADDRESS(ROW($N31)-RSI_Periods +1, MATCH("Upmove", Price_Header,0))): INDIRECT(ADDRESS(ROW($N31),MATCH("Upmove", Price_Header,0)))))</f>
        <v>0.42428571428571438</v>
      </c>
      <c r="Q31" s="46">
        <f ca="1">IF(ROW($O31)-5&lt;RSI_Periods, "", AVERAGE(INDIRECT(ADDRESS(ROW($O31)-RSI_Periods +1, MATCH("Downmove", Price_Header,0))): INDIRECT(ADDRESS(ROW($O31),MATCH("Downmove", Price_Header,0)))))</f>
        <v>0.42499999999999993</v>
      </c>
      <c r="R31" s="46">
        <f ca="1">IF(tbl_VIXY[[#This Row],[Avg_Upmove]]="", "", tbl_VIXY[[#This Row],[Avg_Upmove]]/tbl_VIXY[[#This Row],[Avg_Downmove]])</f>
        <v>0.99831932773109278</v>
      </c>
      <c r="S31" s="10">
        <f ca="1">IF(ROW($N31)-4&lt;BB_Periods, "", _xlfn.STDEV.S(INDIRECT(ADDRESS(ROW($F31)-RSI_Periods +1, MATCH("Adj Close", Price_Header,0))): INDIRECT(ADDRESS(ROW($F31),MATCH("Adj Close", Price_Header,0)))))</f>
        <v>1.5632779382080184</v>
      </c>
    </row>
    <row r="32" spans="1:19" x14ac:dyDescent="0.35">
      <c r="A32" s="8">
        <v>44091</v>
      </c>
      <c r="B32" s="10">
        <v>21.09</v>
      </c>
      <c r="C32" s="10">
        <v>21.16</v>
      </c>
      <c r="D32" s="10">
        <v>19.91</v>
      </c>
      <c r="E32" s="10">
        <v>19.97</v>
      </c>
      <c r="F32" s="10">
        <v>19.97</v>
      </c>
      <c r="G32">
        <v>6028200</v>
      </c>
      <c r="H32" s="10">
        <f>IF(tbl_VIXY[[#This Row],[Date]]=$A$5, $F32, EMA_Beta*$H31 + (1-EMA_Beta)*$F32)</f>
        <v>21.363659819013229</v>
      </c>
      <c r="I32" s="46">
        <f ca="1">IF(tbl_VIXY[[#This Row],[RS]]= "", "", 100-(100/(1+tbl_VIXY[[#This Row],[RS]])))</f>
        <v>45.25235243798118</v>
      </c>
      <c r="J32" s="10">
        <f ca="1">IF(ROW($N32)-4&lt;BB_Periods, "", AVERAGE(INDIRECT(ADDRESS(ROW($F32)-RSI_Periods +1, MATCH("Adj Close", Price_Header,0))): INDIRECT(ADDRESS(ROW($F32),MATCH("Adj Close", Price_Header,0)))))</f>
        <v>21.991428571428571</v>
      </c>
      <c r="K32" s="10">
        <f ca="1">IF(tbl_VIXY[[#This Row],[BB_Mean]]="", "", tbl_VIXY[[#This Row],[BB_Mean]]+(BB_Width*tbl_VIXY[[#This Row],[BB_Stdev]]))</f>
        <v>25.27838982549201</v>
      </c>
      <c r="L32" s="10">
        <f ca="1">IF(tbl_VIXY[[#This Row],[BB_Mean]]="", "", tbl_VIXY[[#This Row],[BB_Mean]]-(BB_Width*tbl_VIXY[[#This Row],[BB_Stdev]]))</f>
        <v>18.704467317365133</v>
      </c>
      <c r="M32" s="46">
        <f>IF(ROW(tbl_VIXY[[#This Row],[Adj Close]])=5, 0, $F32-$F31)</f>
        <v>-0.45000000000000284</v>
      </c>
      <c r="N32" s="46">
        <f>MAX(tbl_VIXY[[#This Row],[Move]],0)</f>
        <v>0</v>
      </c>
      <c r="O32" s="46">
        <f>MAX(-tbl_VIXY[[#This Row],[Move]],0)</f>
        <v>0.45000000000000284</v>
      </c>
      <c r="P32" s="46">
        <f ca="1">IF(ROW($N32)-5&lt;RSI_Periods, "", AVERAGE(INDIRECT(ADDRESS(ROW($N32)-RSI_Periods +1, MATCH("Upmove", Price_Header,0))): INDIRECT(ADDRESS(ROW($N32),MATCH("Upmove", Price_Header,0)))))</f>
        <v>0.37785714285714306</v>
      </c>
      <c r="Q32" s="46">
        <f ca="1">IF(ROW($O32)-5&lt;RSI_Periods, "", AVERAGE(INDIRECT(ADDRESS(ROW($O32)-RSI_Periods +1, MATCH("Downmove", Price_Header,0))): INDIRECT(ADDRESS(ROW($O32),MATCH("Downmove", Price_Header,0)))))</f>
        <v>0.4571428571428573</v>
      </c>
      <c r="R32" s="46">
        <f ca="1">IF(tbl_VIXY[[#This Row],[Avg_Upmove]]="", "", tbl_VIXY[[#This Row],[Avg_Upmove]]/tbl_VIXY[[#This Row],[Avg_Downmove]])</f>
        <v>0.8265625000000002</v>
      </c>
      <c r="S32" s="10">
        <f ca="1">IF(ROW($N32)-4&lt;BB_Periods, "", _xlfn.STDEV.S(INDIRECT(ADDRESS(ROW($F32)-RSI_Periods +1, MATCH("Adj Close", Price_Header,0))): INDIRECT(ADDRESS(ROW($F32),MATCH("Adj Close", Price_Header,0)))))</f>
        <v>1.643480627031719</v>
      </c>
    </row>
    <row r="33" spans="1:19" x14ac:dyDescent="0.35">
      <c r="A33" s="8">
        <v>44092</v>
      </c>
      <c r="B33" s="10">
        <v>19.84</v>
      </c>
      <c r="C33" s="10">
        <v>20.46</v>
      </c>
      <c r="D33" s="10">
        <v>19.41</v>
      </c>
      <c r="E33" s="10">
        <v>19.98</v>
      </c>
      <c r="F33" s="10">
        <v>19.98</v>
      </c>
      <c r="G33">
        <v>5670000</v>
      </c>
      <c r="H33" s="10">
        <f>IF(tbl_VIXY[[#This Row],[Date]]=$A$5, $F33, EMA_Beta*$H32 + (1-EMA_Beta)*$F33)</f>
        <v>21.225293837111909</v>
      </c>
      <c r="I33" s="46">
        <f ca="1">IF(tbl_VIXY[[#This Row],[RS]]= "", "", 100-(100/(1+tbl_VIXY[[#This Row],[RS]])))</f>
        <v>45.729076790336514</v>
      </c>
      <c r="J33" s="10">
        <f ca="1">IF(ROW($N33)-4&lt;BB_Periods, "", AVERAGE(INDIRECT(ADDRESS(ROW($F33)-RSI_Periods +1, MATCH("Adj Close", Price_Header,0))): INDIRECT(ADDRESS(ROW($F33),MATCH("Adj Close", Price_Header,0)))))</f>
        <v>21.920714285714293</v>
      </c>
      <c r="K33" s="10">
        <f ca="1">IF(tbl_VIXY[[#This Row],[BB_Mean]]="", "", tbl_VIXY[[#This Row],[BB_Mean]]+(BB_Width*tbl_VIXY[[#This Row],[BB_Stdev]]))</f>
        <v>25.342180136987484</v>
      </c>
      <c r="L33" s="10">
        <f ca="1">IF(tbl_VIXY[[#This Row],[BB_Mean]]="", "", tbl_VIXY[[#This Row],[BB_Mean]]-(BB_Width*tbl_VIXY[[#This Row],[BB_Stdev]]))</f>
        <v>18.499248434441103</v>
      </c>
      <c r="M33" s="46">
        <f>IF(ROW(tbl_VIXY[[#This Row],[Adj Close]])=5, 0, $F33-$F32)</f>
        <v>1.0000000000001563E-2</v>
      </c>
      <c r="N33" s="46">
        <f>MAX(tbl_VIXY[[#This Row],[Move]],0)</f>
        <v>1.0000000000001563E-2</v>
      </c>
      <c r="O33" s="46">
        <f>MAX(-tbl_VIXY[[#This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0.37857142857142889</v>
      </c>
      <c r="Q33" s="46">
        <f ca="1">IF(ROW($O33)-5&lt;RSI_Periods, "", AVERAGE(INDIRECT(ADDRESS(ROW($O33)-RSI_Periods +1, MATCH("Downmove", Price_Header,0))): INDIRECT(ADDRESS(ROW($O33),MATCH("Downmove", Price_Header,0)))))</f>
        <v>0.44928571428571445</v>
      </c>
      <c r="R33" s="46">
        <f ca="1">IF(tbl_VIXY[[#This Row],[Avg_Upmove]]="", "", tbl_VIXY[[#This Row],[Avg_Upmove]]/tbl_VIXY[[#This Row],[Avg_Downmove]])</f>
        <v>0.84260731319554893</v>
      </c>
      <c r="S33" s="10">
        <f ca="1">IF(ROW($N33)-4&lt;BB_Periods, "", _xlfn.STDEV.S(INDIRECT(ADDRESS(ROW($F33)-RSI_Periods +1, MATCH("Adj Close", Price_Header,0))): INDIRECT(ADDRESS(ROW($F33),MATCH("Adj Close", Price_Header,0)))))</f>
        <v>1.7107329256365948</v>
      </c>
    </row>
    <row r="34" spans="1:19" x14ac:dyDescent="0.35">
      <c r="A34" s="8">
        <v>44095</v>
      </c>
      <c r="B34" s="10">
        <v>20.83</v>
      </c>
      <c r="C34" s="10">
        <v>21.84</v>
      </c>
      <c r="D34" s="10">
        <v>20.53</v>
      </c>
      <c r="E34" s="10">
        <v>20.64</v>
      </c>
      <c r="F34" s="10">
        <v>20.64</v>
      </c>
      <c r="G34">
        <v>6644900</v>
      </c>
      <c r="H34" s="10">
        <f>IF(tbl_VIXY[[#This Row],[Date]]=$A$5, $F34, EMA_Beta*$H33 + (1-EMA_Beta)*$F34)</f>
        <v>21.16676445340072</v>
      </c>
      <c r="I34" s="46">
        <f ca="1">IF(tbl_VIXY[[#This Row],[RS]]= "", "", 100-(100/(1+tbl_VIXY[[#This Row],[RS]])))</f>
        <v>44.088888888888903</v>
      </c>
      <c r="J34" s="10">
        <f ca="1">IF(ROW($N34)-4&lt;BB_Periods, "", AVERAGE(INDIRECT(ADDRESS(ROW($F34)-RSI_Periods +1, MATCH("Adj Close", Price_Header,0))): INDIRECT(ADDRESS(ROW($F34),MATCH("Adj Close", Price_Header,0)))))</f>
        <v>21.825714285714291</v>
      </c>
      <c r="K34" s="10">
        <f ca="1">IF(tbl_VIXY[[#This Row],[BB_Mean]]="", "", tbl_VIXY[[#This Row],[BB_Mean]]+(BB_Width*tbl_VIXY[[#This Row],[BB_Stdev]]))</f>
        <v>25.314480559039307</v>
      </c>
      <c r="L34" s="10">
        <f ca="1">IF(tbl_VIXY[[#This Row],[BB_Mean]]="", "", tbl_VIXY[[#This Row],[BB_Mean]]-(BB_Width*tbl_VIXY[[#This Row],[BB_Stdev]]))</f>
        <v>18.336948012389275</v>
      </c>
      <c r="M34" s="46">
        <f>IF(ROW(tbl_VIXY[[#This Row],[Adj Close]])=5, 0, $F34-$F33)</f>
        <v>0.66000000000000014</v>
      </c>
      <c r="N34" s="46">
        <f>MAX(tbl_VIXY[[#This Row],[Move]],0)</f>
        <v>0.66000000000000014</v>
      </c>
      <c r="O34" s="46">
        <f>MAX(-tbl_VIXY[[#This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0.35428571428571459</v>
      </c>
      <c r="Q34" s="46">
        <f ca="1">IF(ROW($O34)-5&lt;RSI_Periods, "", AVERAGE(INDIRECT(ADDRESS(ROW($O34)-RSI_Periods +1, MATCH("Downmove", Price_Header,0))): INDIRECT(ADDRESS(ROW($O34),MATCH("Downmove", Price_Header,0)))))</f>
        <v>0.44928571428571445</v>
      </c>
      <c r="R34" s="46">
        <f ca="1">IF(tbl_VIXY[[#This Row],[Avg_Upmove]]="", "", tbl_VIXY[[#This Row],[Avg_Upmove]]/tbl_VIXY[[#This Row],[Avg_Downmove]])</f>
        <v>0.78855325914149477</v>
      </c>
      <c r="S34" s="10">
        <f ca="1">IF(ROW($N34)-4&lt;BB_Periods, "", _xlfn.STDEV.S(INDIRECT(ADDRESS(ROW($F34)-RSI_Periods +1, MATCH("Adj Close", Price_Header,0))): INDIRECT(ADDRESS(ROW($F34),MATCH("Adj Close", Price_Header,0)))))</f>
        <v>1.7443831366625075</v>
      </c>
    </row>
    <row r="35" spans="1:19" x14ac:dyDescent="0.35">
      <c r="A35" s="8">
        <v>44096</v>
      </c>
      <c r="B35" s="10">
        <v>20.62</v>
      </c>
      <c r="C35" s="10">
        <v>21.33</v>
      </c>
      <c r="D35" s="10">
        <v>20.58</v>
      </c>
      <c r="E35" s="10">
        <v>20.78</v>
      </c>
      <c r="F35" s="10">
        <v>20.78</v>
      </c>
      <c r="G35">
        <v>3218900</v>
      </c>
      <c r="H35" s="10">
        <f>IF(tbl_VIXY[[#This Row],[Date]]=$A$5, $F35, EMA_Beta*$H34 + (1-EMA_Beta)*$F35)</f>
        <v>21.128088008060647</v>
      </c>
      <c r="I35" s="46">
        <f ca="1">IF(tbl_VIXY[[#This Row],[RS]]= "", "", 100-(100/(1+tbl_VIXY[[#This Row],[RS]])))</f>
        <v>42.766151046405824</v>
      </c>
      <c r="J35" s="10">
        <f ca="1">IF(ROW($N35)-4&lt;BB_Periods, "", AVERAGE(INDIRECT(ADDRESS(ROW($F35)-RSI_Periods +1, MATCH("Adj Close", Price_Header,0))): INDIRECT(ADDRESS(ROW($F35),MATCH("Adj Close", Price_Header,0)))))</f>
        <v>21.712142857142858</v>
      </c>
      <c r="K35" s="10">
        <f ca="1">IF(tbl_VIXY[[#This Row],[BB_Mean]]="", "", tbl_VIXY[[#This Row],[BB_Mean]]+(BB_Width*tbl_VIXY[[#This Row],[BB_Stdev]]))</f>
        <v>25.227998621852464</v>
      </c>
      <c r="L35" s="10">
        <f ca="1">IF(tbl_VIXY[[#This Row],[BB_Mean]]="", "", tbl_VIXY[[#This Row],[BB_Mean]]-(BB_Width*tbl_VIXY[[#This Row],[BB_Stdev]]))</f>
        <v>18.196287092433252</v>
      </c>
      <c r="M35" s="46">
        <f>IF(ROW(tbl_VIXY[[#This Row],[Adj Close]])=5, 0, $F35-$F34)</f>
        <v>0.14000000000000057</v>
      </c>
      <c r="N35" s="46">
        <f>MAX(tbl_VIXY[[#This Row],[Move]],0)</f>
        <v>0.14000000000000057</v>
      </c>
      <c r="O35" s="46">
        <f>MAX(-tbl_VIXY[[#This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0.33571428571428591</v>
      </c>
      <c r="Q35" s="46">
        <f ca="1">IF(ROW($O35)-5&lt;RSI_Periods, "", AVERAGE(INDIRECT(ADDRESS(ROW($O35)-RSI_Periods +1, MATCH("Downmove", Price_Header,0))): INDIRECT(ADDRESS(ROW($O35),MATCH("Downmove", Price_Header,0)))))</f>
        <v>0.44928571428571445</v>
      </c>
      <c r="R35" s="46">
        <f ca="1">IF(tbl_VIXY[[#This Row],[Avg_Upmove]]="", "", tbl_VIXY[[#This Row],[Avg_Upmove]]/tbl_VIXY[[#This Row],[Avg_Downmove]])</f>
        <v>0.74721780604133559</v>
      </c>
      <c r="S35" s="10">
        <f ca="1">IF(ROW($N35)-4&lt;BB_Periods, "", _xlfn.STDEV.S(INDIRECT(ADDRESS(ROW($F35)-RSI_Periods +1, MATCH("Adj Close", Price_Header,0))): INDIRECT(ADDRESS(ROW($F35),MATCH("Adj Close", Price_Header,0)))))</f>
        <v>1.7579278823548024</v>
      </c>
    </row>
    <row r="36" spans="1:19" x14ac:dyDescent="0.35">
      <c r="A36" s="8">
        <v>44097</v>
      </c>
      <c r="B36" s="10">
        <v>20.68</v>
      </c>
      <c r="C36" s="10">
        <v>21.91</v>
      </c>
      <c r="D36" s="10">
        <v>20.62</v>
      </c>
      <c r="E36" s="10">
        <v>21.89</v>
      </c>
      <c r="F36" s="10">
        <v>21.89</v>
      </c>
      <c r="G36">
        <v>5370700</v>
      </c>
      <c r="H36" s="10">
        <f>IF(tbl_VIXY[[#This Row],[Date]]=$A$5, $F36, EMA_Beta*$H35 + (1-EMA_Beta)*$F36)</f>
        <v>21.204279207254583</v>
      </c>
      <c r="I36" s="46">
        <f ca="1">IF(tbl_VIXY[[#This Row],[RS]]= "", "", 100-(100/(1+tbl_VIXY[[#This Row],[RS]])))</f>
        <v>45.304347826086968</v>
      </c>
      <c r="J36" s="10">
        <f ca="1">IF(ROW($N36)-4&lt;BB_Periods, "", AVERAGE(INDIRECT(ADDRESS(ROW($F36)-RSI_Periods +1, MATCH("Adj Close", Price_Header,0))): INDIRECT(ADDRESS(ROW($F36),MATCH("Adj Close", Price_Header,0)))))</f>
        <v>21.634999999999998</v>
      </c>
      <c r="K36" s="10">
        <f ca="1">IF(tbl_VIXY[[#This Row],[BB_Mean]]="", "", tbl_VIXY[[#This Row],[BB_Mean]]+(BB_Width*tbl_VIXY[[#This Row],[BB_Stdev]]))</f>
        <v>25.07861840108739</v>
      </c>
      <c r="L36" s="10">
        <f ca="1">IF(tbl_VIXY[[#This Row],[BB_Mean]]="", "", tbl_VIXY[[#This Row],[BB_Mean]]-(BB_Width*tbl_VIXY[[#This Row],[BB_Stdev]]))</f>
        <v>18.191381598912606</v>
      </c>
      <c r="M36" s="46">
        <f>IF(ROW(tbl_VIXY[[#This Row],[Adj Close]])=5, 0, $F36-$F35)</f>
        <v>1.1099999999999994</v>
      </c>
      <c r="N36" s="46">
        <f>MAX(tbl_VIXY[[#This Row],[Move]],0)</f>
        <v>1.1099999999999994</v>
      </c>
      <c r="O36" s="46">
        <f>MAX(-tbl_VIXY[[#This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0.37214285714285744</v>
      </c>
      <c r="Q36" s="46">
        <f ca="1">IF(ROW($O36)-5&lt;RSI_Periods, "", AVERAGE(INDIRECT(ADDRESS(ROW($O36)-RSI_Periods +1, MATCH("Downmove", Price_Header,0))): INDIRECT(ADDRESS(ROW($O36),MATCH("Downmove", Price_Header,0)))))</f>
        <v>0.44928571428571445</v>
      </c>
      <c r="R36" s="46">
        <f ca="1">IF(tbl_VIXY[[#This Row],[Avg_Upmove]]="", "", tbl_VIXY[[#This Row],[Avg_Upmove]]/tbl_VIXY[[#This Row],[Avg_Downmove]])</f>
        <v>0.82829888712241684</v>
      </c>
      <c r="S36" s="10">
        <f ca="1">IF(ROW($N36)-4&lt;BB_Periods, "", _xlfn.STDEV.S(INDIRECT(ADDRESS(ROW($F36)-RSI_Periods +1, MATCH("Adj Close", Price_Header,0))): INDIRECT(ADDRESS(ROW($F36),MATCH("Adj Close", Price_Header,0)))))</f>
        <v>1.7218092005436965</v>
      </c>
    </row>
    <row r="37" spans="1:19" x14ac:dyDescent="0.35">
      <c r="A37" s="8">
        <v>44098</v>
      </c>
      <c r="B37" s="10">
        <v>21.91</v>
      </c>
      <c r="C37" s="10">
        <v>22.14</v>
      </c>
      <c r="D37" s="10">
        <v>22.1</v>
      </c>
      <c r="E37" s="10">
        <v>21.5</v>
      </c>
      <c r="F37" s="10">
        <v>21.5</v>
      </c>
      <c r="G37">
        <v>4470700</v>
      </c>
      <c r="H37" s="10">
        <f>IF(tbl_VIXY[[#This Row],[Date]]=$A$5, $F37, EMA_Beta*$H36 + (1-EMA_Beta)*$F37)</f>
        <v>21.233851286529124</v>
      </c>
      <c r="I37" s="46">
        <f ca="1">IF(tbl_VIXY[[#This Row],[RS]]= "", "", 100-(100/(1+tbl_VIXY[[#This Row],[RS]])))</f>
        <v>24.519774011299447</v>
      </c>
      <c r="J37" s="10">
        <f ca="1">IF(ROW($N37)-4&lt;BB_Periods, "", AVERAGE(INDIRECT(ADDRESS(ROW($F37)-RSI_Periods +1, MATCH("Adj Close", Price_Header,0))): INDIRECT(ADDRESS(ROW($F37),MATCH("Adj Close", Price_Header,0)))))</f>
        <v>21.312857142857144</v>
      </c>
      <c r="K37" s="10">
        <f ca="1">IF(tbl_VIXY[[#This Row],[BB_Mean]]="", "", tbl_VIXY[[#This Row],[BB_Mean]]+(BB_Width*tbl_VIXY[[#This Row],[BB_Stdev]]))</f>
        <v>23.66395415124645</v>
      </c>
      <c r="L37" s="10">
        <f ca="1">IF(tbl_VIXY[[#This Row],[BB_Mean]]="", "", tbl_VIXY[[#This Row],[BB_Mean]]-(BB_Width*tbl_VIXY[[#This Row],[BB_Stdev]]))</f>
        <v>18.961760134467838</v>
      </c>
      <c r="M37" s="46">
        <f>IF(ROW(tbl_VIXY[[#This Row],[Adj Close]])=5, 0, $F37-$F36)</f>
        <v>-0.39000000000000057</v>
      </c>
      <c r="N37" s="46">
        <f>MAX(tbl_VIXY[[#This Row],[Move]],0)</f>
        <v>0</v>
      </c>
      <c r="O37" s="46">
        <f>MAX(-tbl_VIXY[[#This Row],[Move]],0)</f>
        <v>0.39000000000000057</v>
      </c>
      <c r="P37" s="46">
        <f ca="1">IF(ROW($N37)-5&lt;RSI_Periods, "", AVERAGE(INDIRECT(ADDRESS(ROW($N37)-RSI_Periods +1, MATCH("Upmove", Price_Header,0))): INDIRECT(ADDRESS(ROW($N37),MATCH("Upmove", Price_Header,0)))))</f>
        <v>0.15500000000000011</v>
      </c>
      <c r="Q37" s="46">
        <f ca="1">IF(ROW($O37)-5&lt;RSI_Periods, "", AVERAGE(INDIRECT(ADDRESS(ROW($O37)-RSI_Periods +1, MATCH("Downmove", Price_Header,0))): INDIRECT(ADDRESS(ROW($O37),MATCH("Downmove", Price_Header,0)))))</f>
        <v>0.47714285714285737</v>
      </c>
      <c r="R37" s="46">
        <f ca="1">IF(tbl_VIXY[[#This Row],[Avg_Upmove]]="", "", tbl_VIXY[[#This Row],[Avg_Upmove]]/tbl_VIXY[[#This Row],[Avg_Downmove]])</f>
        <v>0.3248502994011977</v>
      </c>
      <c r="S37" s="10">
        <f ca="1">IF(ROW($N37)-4&lt;BB_Periods, "", _xlfn.STDEV.S(INDIRECT(ADDRESS(ROW($F37)-RSI_Periods +1, MATCH("Adj Close", Price_Header,0))): INDIRECT(ADDRESS(ROW($F37),MATCH("Adj Close", Price_Header,0)))))</f>
        <v>1.1755485041946527</v>
      </c>
    </row>
    <row r="38" spans="1:19" x14ac:dyDescent="0.35">
      <c r="A38" s="8">
        <v>44099</v>
      </c>
      <c r="B38" s="10">
        <v>21.5</v>
      </c>
      <c r="C38" s="10">
        <v>21.65</v>
      </c>
      <c r="D38" s="10">
        <v>20.81</v>
      </c>
      <c r="E38" s="10">
        <v>20.92</v>
      </c>
      <c r="F38" s="10">
        <v>20.92</v>
      </c>
      <c r="G38">
        <v>2707300</v>
      </c>
      <c r="H38" s="10">
        <f>IF(tbl_VIXY[[#This Row],[Date]]=$A$5, $F38, EMA_Beta*$H37 + (1-EMA_Beta)*$F38)</f>
        <v>21.202466157876209</v>
      </c>
      <c r="I38" s="46">
        <f ca="1">IF(tbl_VIXY[[#This Row],[RS]]= "", "", 100-(100/(1+tbl_VIXY[[#This Row],[RS]])))</f>
        <v>29.889807162534453</v>
      </c>
      <c r="J38" s="10">
        <f ca="1">IF(ROW($N38)-4&lt;BB_Periods, "", AVERAGE(INDIRECT(ADDRESS(ROW($F38)-RSI_Periods +1, MATCH("Adj Close", Price_Header,0))): INDIRECT(ADDRESS(ROW($F38),MATCH("Adj Close", Price_Header,0)))))</f>
        <v>21.104285714285712</v>
      </c>
      <c r="K38" s="10">
        <f ca="1">IF(tbl_VIXY[[#This Row],[BB_Mean]]="", "", tbl_VIXY[[#This Row],[BB_Mean]]+(BB_Width*tbl_VIXY[[#This Row],[BB_Stdev]]))</f>
        <v>22.954337094623597</v>
      </c>
      <c r="L38" s="10">
        <f ca="1">IF(tbl_VIXY[[#This Row],[BB_Mean]]="", "", tbl_VIXY[[#This Row],[BB_Mean]]-(BB_Width*tbl_VIXY[[#This Row],[BB_Stdev]]))</f>
        <v>19.254234333947828</v>
      </c>
      <c r="M38" s="46">
        <f>IF(ROW(tbl_VIXY[[#This Row],[Adj Close]])=5, 0, $F38-$F37)</f>
        <v>-0.57999999999999829</v>
      </c>
      <c r="N38" s="46">
        <f>MAX(tbl_VIXY[[#This Row],[Move]],0)</f>
        <v>0</v>
      </c>
      <c r="O38" s="46">
        <f>MAX(-tbl_VIXY[[#This Row],[Move]],0)</f>
        <v>0.57999999999999829</v>
      </c>
      <c r="P38" s="46">
        <f ca="1">IF(ROW($N38)-5&lt;RSI_Periods, "", AVERAGE(INDIRECT(ADDRESS(ROW($N38)-RSI_Periods +1, MATCH("Upmove", Price_Header,0))): INDIRECT(ADDRESS(ROW($N38),MATCH("Upmove", Price_Header,0)))))</f>
        <v>0.15500000000000011</v>
      </c>
      <c r="Q38" s="46">
        <f ca="1">IF(ROW($O38)-5&lt;RSI_Periods, "", AVERAGE(INDIRECT(ADDRESS(ROW($O38)-RSI_Periods +1, MATCH("Downmove", Price_Header,0))): INDIRECT(ADDRESS(ROW($O38),MATCH("Downmove", Price_Header,0)))))</f>
        <v>0.36357142857142855</v>
      </c>
      <c r="R38" s="46">
        <f ca="1">IF(tbl_VIXY[[#This Row],[Avg_Upmove]]="", "", tbl_VIXY[[#This Row],[Avg_Upmove]]/tbl_VIXY[[#This Row],[Avg_Downmove]])</f>
        <v>0.42632612966601213</v>
      </c>
      <c r="S38" s="10">
        <f ca="1">IF(ROW($N38)-4&lt;BB_Periods, "", _xlfn.STDEV.S(INDIRECT(ADDRESS(ROW($F38)-RSI_Periods +1, MATCH("Adj Close", Price_Header,0))): INDIRECT(ADDRESS(ROW($F38),MATCH("Adj Close", Price_Header,0)))))</f>
        <v>0.92502569016894176</v>
      </c>
    </row>
    <row r="39" spans="1:19" x14ac:dyDescent="0.35">
      <c r="A39" s="8">
        <v>44102</v>
      </c>
      <c r="B39" s="10">
        <v>20.73</v>
      </c>
      <c r="C39" s="10">
        <v>21.02</v>
      </c>
      <c r="D39" s="10">
        <v>20.71</v>
      </c>
      <c r="E39" s="10">
        <v>20.85</v>
      </c>
      <c r="F39" s="10">
        <v>20.85</v>
      </c>
      <c r="G39">
        <v>2198900</v>
      </c>
      <c r="H39" s="10">
        <f>IF(tbl_VIXY[[#This Row],[Date]]=$A$5, $F39, EMA_Beta*$H38 + (1-EMA_Beta)*$F39)</f>
        <v>21.167219542088588</v>
      </c>
      <c r="I39" s="46">
        <f ca="1">IF(tbl_VIXY[[#This Row],[RS]]= "", "", 100-(100/(1+tbl_VIXY[[#This Row],[RS]])))</f>
        <v>32.631578947368439</v>
      </c>
      <c r="J39" s="10">
        <f ca="1">IF(ROW($N39)-4&lt;BB_Periods, "", AVERAGE(INDIRECT(ADDRESS(ROW($F39)-RSI_Periods +1, MATCH("Adj Close", Price_Header,0))): INDIRECT(ADDRESS(ROW($F39),MATCH("Adj Close", Price_Header,0)))))</f>
        <v>20.939285714285717</v>
      </c>
      <c r="K39" s="10">
        <f ca="1">IF(tbl_VIXY[[#This Row],[BB_Mean]]="", "", tbl_VIXY[[#This Row],[BB_Mean]]+(BB_Width*tbl_VIXY[[#This Row],[BB_Stdev]]))</f>
        <v>22.362315294727804</v>
      </c>
      <c r="L39" s="10">
        <f ca="1">IF(tbl_VIXY[[#This Row],[BB_Mean]]="", "", tbl_VIXY[[#This Row],[BB_Mean]]-(BB_Width*tbl_VIXY[[#This Row],[BB_Stdev]]))</f>
        <v>19.51625613384363</v>
      </c>
      <c r="M39" s="46">
        <f>IF(ROW(tbl_VIXY[[#This Row],[Adj Close]])=5, 0, $F39-$F38)</f>
        <v>-7.0000000000000284E-2</v>
      </c>
      <c r="N39" s="46">
        <f>MAX(tbl_VIXY[[#This Row],[Move]],0)</f>
        <v>0</v>
      </c>
      <c r="O39" s="46">
        <f>MAX(-tbl_VIXY[[#This Row],[Move]],0)</f>
        <v>7.0000000000000284E-2</v>
      </c>
      <c r="P39" s="46">
        <f ca="1">IF(ROW($N39)-5&lt;RSI_Periods, "", AVERAGE(INDIRECT(ADDRESS(ROW($N39)-RSI_Periods +1, MATCH("Upmove", Price_Header,0))): INDIRECT(ADDRESS(ROW($N39),MATCH("Upmove", Price_Header,0)))))</f>
        <v>0.15500000000000011</v>
      </c>
      <c r="Q39" s="46">
        <f ca="1">IF(ROW($O39)-5&lt;RSI_Periods, "", AVERAGE(INDIRECT(ADDRESS(ROW($O39)-RSI_Periods +1, MATCH("Downmove", Price_Header,0))): INDIRECT(ADDRESS(ROW($O39),MATCH("Downmove", Price_Header,0)))))</f>
        <v>0.32</v>
      </c>
      <c r="R39" s="46">
        <f ca="1">IF(tbl_VIXY[[#This Row],[Avg_Upmove]]="", "", tbl_VIXY[[#This Row],[Avg_Upmove]]/tbl_VIXY[[#This Row],[Avg_Downmove]])</f>
        <v>0.48437500000000033</v>
      </c>
      <c r="S39" s="10">
        <f ca="1">IF(ROW($N39)-4&lt;BB_Periods, "", _xlfn.STDEV.S(INDIRECT(ADDRESS(ROW($F39)-RSI_Periods +1, MATCH("Adj Close", Price_Header,0))): INDIRECT(ADDRESS(ROW($F39),MATCH("Adj Close", Price_Header,0)))))</f>
        <v>0.7115147902210438</v>
      </c>
    </row>
    <row r="40" spans="1:19" x14ac:dyDescent="0.35">
      <c r="A40" s="8">
        <v>44103</v>
      </c>
      <c r="B40" s="10">
        <v>20.91</v>
      </c>
      <c r="C40" s="10">
        <v>20.91</v>
      </c>
      <c r="D40" s="10">
        <v>20.13</v>
      </c>
      <c r="E40" s="10">
        <v>20.440000000000001</v>
      </c>
      <c r="F40" s="10">
        <v>20.440000000000001</v>
      </c>
      <c r="G40">
        <v>2735800</v>
      </c>
      <c r="H40" s="10">
        <f>IF(tbl_VIXY[[#This Row],[Date]]=$A$5, $F40, EMA_Beta*$H39 + (1-EMA_Beta)*$F40)</f>
        <v>21.094497587879729</v>
      </c>
      <c r="I40" s="46">
        <f ca="1">IF(tbl_VIXY[[#This Row],[RS]]= "", "", 100-(100/(1+tbl_VIXY[[#This Row],[RS]])))</f>
        <v>36.842105263157919</v>
      </c>
      <c r="J40" s="10">
        <f ca="1">IF(ROW($N40)-4&lt;BB_Periods, "", AVERAGE(INDIRECT(ADDRESS(ROW($F40)-RSI_Periods +1, MATCH("Adj Close", Price_Header,0))): INDIRECT(ADDRESS(ROW($F40),MATCH("Adj Close", Price_Header,0)))))</f>
        <v>20.828571428571433</v>
      </c>
      <c r="K40" s="10">
        <f ca="1">IF(tbl_VIXY[[#This Row],[BB_Mean]]="", "", tbl_VIXY[[#This Row],[BB_Mean]]+(BB_Width*tbl_VIXY[[#This Row],[BB_Stdev]]))</f>
        <v>22.135943593649905</v>
      </c>
      <c r="L40" s="10">
        <f ca="1">IF(tbl_VIXY[[#This Row],[BB_Mean]]="", "", tbl_VIXY[[#This Row],[BB_Mean]]-(BB_Width*tbl_VIXY[[#This Row],[BB_Stdev]]))</f>
        <v>19.52119926349296</v>
      </c>
      <c r="M40" s="46">
        <f>IF(ROW(tbl_VIXY[[#This Row],[Adj Close]])=5, 0, $F40-$F39)</f>
        <v>-0.41000000000000014</v>
      </c>
      <c r="N40" s="46">
        <f>MAX(tbl_VIXY[[#This Row],[Move]],0)</f>
        <v>0</v>
      </c>
      <c r="O40" s="46">
        <f>MAX(-tbl_VIXY[[#This Row],[Move]],0)</f>
        <v>0.41000000000000014</v>
      </c>
      <c r="P40" s="46">
        <f ca="1">IF(ROW($N40)-5&lt;RSI_Periods, "", AVERAGE(INDIRECT(ADDRESS(ROW($N40)-RSI_Periods +1, MATCH("Upmove", Price_Header,0))): INDIRECT(ADDRESS(ROW($N40),MATCH("Upmove", Price_Header,0)))))</f>
        <v>0.15500000000000011</v>
      </c>
      <c r="Q40" s="46">
        <f ca="1">IF(ROW($O40)-5&lt;RSI_Periods, "", AVERAGE(INDIRECT(ADDRESS(ROW($O40)-RSI_Periods +1, MATCH("Downmove", Price_Header,0))): INDIRECT(ADDRESS(ROW($O40),MATCH("Downmove", Price_Header,0)))))</f>
        <v>0.26571428571428563</v>
      </c>
      <c r="R40" s="46">
        <f ca="1">IF(tbl_VIXY[[#This Row],[Avg_Upmove]]="", "", tbl_VIXY[[#This Row],[Avg_Upmove]]/tbl_VIXY[[#This Row],[Avg_Downmove]])</f>
        <v>0.58333333333333393</v>
      </c>
      <c r="S40" s="10">
        <f ca="1">IF(ROW($N40)-4&lt;BB_Periods, "", _xlfn.STDEV.S(INDIRECT(ADDRESS(ROW($F40)-RSI_Periods +1, MATCH("Adj Close", Price_Header,0))): INDIRECT(ADDRESS(ROW($F40),MATCH("Adj Close", Price_Header,0)))))</f>
        <v>0.65368608253923699</v>
      </c>
    </row>
    <row r="41" spans="1:19" x14ac:dyDescent="0.35">
      <c r="A41" s="8">
        <v>44104</v>
      </c>
      <c r="B41" s="10">
        <v>20.170000000000002</v>
      </c>
      <c r="C41" s="10">
        <v>20.62</v>
      </c>
      <c r="D41" s="10">
        <v>19.91</v>
      </c>
      <c r="E41" s="10">
        <v>20.41</v>
      </c>
      <c r="F41" s="10">
        <v>20.41</v>
      </c>
      <c r="G41">
        <v>3860700</v>
      </c>
      <c r="H41" s="10">
        <f>IF(tbl_VIXY[[#This Row],[Date]]=$A$5, $F41, EMA_Beta*$H40 + (1-EMA_Beta)*$F41)</f>
        <v>21.026047829091759</v>
      </c>
      <c r="I41" s="46">
        <f ca="1">IF(tbl_VIXY[[#This Row],[RS]]= "", "", 100-(100/(1+tbl_VIXY[[#This Row],[RS]])))</f>
        <v>33.862433862433889</v>
      </c>
      <c r="J41" s="10">
        <f ca="1">IF(ROW($N41)-4&lt;BB_Periods, "", AVERAGE(INDIRECT(ADDRESS(ROW($F41)-RSI_Periods +1, MATCH("Adj Close", Price_Header,0))): INDIRECT(ADDRESS(ROW($F41),MATCH("Adj Close", Price_Header,0)))))</f>
        <v>20.697857142857149</v>
      </c>
      <c r="K41" s="10">
        <f ca="1">IF(tbl_VIXY[[#This Row],[BB_Mean]]="", "", tbl_VIXY[[#This Row],[BB_Mean]]+(BB_Width*tbl_VIXY[[#This Row],[BB_Stdev]]))</f>
        <v>21.735433566627869</v>
      </c>
      <c r="L41" s="10">
        <f ca="1">IF(tbl_VIXY[[#This Row],[BB_Mean]]="", "", tbl_VIXY[[#This Row],[BB_Mean]]-(BB_Width*tbl_VIXY[[#This Row],[BB_Stdev]]))</f>
        <v>19.66028071908643</v>
      </c>
      <c r="M41" s="46">
        <f>IF(ROW(tbl_VIXY[[#This Row],[Adj Close]])=5, 0, $F41-$F40)</f>
        <v>-3.0000000000001137E-2</v>
      </c>
      <c r="N41" s="46">
        <f>MAX(tbl_VIXY[[#This Row],[Move]],0)</f>
        <v>0</v>
      </c>
      <c r="O41" s="46">
        <f>MAX(-tbl_VIXY[[#This Row],[Move]],0)</f>
        <v>3.0000000000001137E-2</v>
      </c>
      <c r="P41" s="46">
        <f ca="1">IF(ROW($N41)-5&lt;RSI_Periods, "", AVERAGE(INDIRECT(ADDRESS(ROW($N41)-RSI_Periods +1, MATCH("Upmove", Price_Header,0))): INDIRECT(ADDRESS(ROW($N41),MATCH("Upmove", Price_Header,0)))))</f>
        <v>0.13714285714285726</v>
      </c>
      <c r="Q41" s="46">
        <f ca="1">IF(ROW($O41)-5&lt;RSI_Periods, "", AVERAGE(INDIRECT(ADDRESS(ROW($O41)-RSI_Periods +1, MATCH("Downmove", Price_Header,0))): INDIRECT(ADDRESS(ROW($O41),MATCH("Downmove", Price_Header,0)))))</f>
        <v>0.26785714285714285</v>
      </c>
      <c r="R41" s="46">
        <f ca="1">IF(tbl_VIXY[[#This Row],[Avg_Upmove]]="", "", tbl_VIXY[[#This Row],[Avg_Upmove]]/tbl_VIXY[[#This Row],[Avg_Downmove]])</f>
        <v>0.51200000000000045</v>
      </c>
      <c r="S41" s="10">
        <f ca="1">IF(ROW($N41)-4&lt;BB_Periods, "", _xlfn.STDEV.S(INDIRECT(ADDRESS(ROW($F41)-RSI_Periods +1, MATCH("Adj Close", Price_Header,0))): INDIRECT(ADDRESS(ROW($F41),MATCH("Adj Close", Price_Header,0)))))</f>
        <v>0.51878821188535973</v>
      </c>
    </row>
    <row r="42" spans="1:19" x14ac:dyDescent="0.35">
      <c r="A42" s="8">
        <v>44105</v>
      </c>
      <c r="B42" s="10">
        <v>20.190000000000001</v>
      </c>
      <c r="C42" s="10">
        <v>20.81</v>
      </c>
      <c r="D42" s="10">
        <v>20.170000000000002</v>
      </c>
      <c r="E42" s="10">
        <v>20.51</v>
      </c>
      <c r="F42" s="10">
        <v>20.51</v>
      </c>
      <c r="G42">
        <v>3106400</v>
      </c>
      <c r="H42" s="10">
        <f>IF(tbl_VIXY[[#This Row],[Date]]=$A$5, $F42, EMA_Beta*$H41 + (1-EMA_Beta)*$F42)</f>
        <v>20.974443046182582</v>
      </c>
      <c r="I42" s="46">
        <f ca="1">IF(tbl_VIXY[[#This Row],[RS]]= "", "", 100-(100/(1+tbl_VIXY[[#This Row],[RS]])))</f>
        <v>45.804988662131557</v>
      </c>
      <c r="J42" s="10">
        <f ca="1">IF(ROW($N42)-4&lt;BB_Periods, "", AVERAGE(INDIRECT(ADDRESS(ROW($F42)-RSI_Periods +1, MATCH("Adj Close", Price_Header,0))): INDIRECT(ADDRESS(ROW($F42),MATCH("Adj Close", Price_Header,0)))))</f>
        <v>20.671428571428571</v>
      </c>
      <c r="K42" s="10">
        <f ca="1">IF(tbl_VIXY[[#This Row],[BB_Mean]]="", "", tbl_VIXY[[#This Row],[BB_Mean]]+(BB_Width*tbl_VIXY[[#This Row],[BB_Stdev]]))</f>
        <v>21.707867953836725</v>
      </c>
      <c r="L42" s="10">
        <f ca="1">IF(tbl_VIXY[[#This Row],[BB_Mean]]="", "", tbl_VIXY[[#This Row],[BB_Mean]]-(BB_Width*tbl_VIXY[[#This Row],[BB_Stdev]]))</f>
        <v>19.634989189020416</v>
      </c>
      <c r="M42" s="46">
        <f>IF(ROW(tbl_VIXY[[#This Row],[Adj Close]])=5, 0, $F42-$F41)</f>
        <v>0.10000000000000142</v>
      </c>
      <c r="N42" s="46">
        <f>MAX(tbl_VIXY[[#This Row],[Move]],0)</f>
        <v>0.10000000000000142</v>
      </c>
      <c r="O42" s="46">
        <f>MAX(-tbl_VIXY[[#This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0.14428571428571452</v>
      </c>
      <c r="Q42" s="46">
        <f ca="1">IF(ROW($O42)-5&lt;RSI_Periods, "", AVERAGE(INDIRECT(ADDRESS(ROW($O42)-RSI_Periods +1, MATCH("Downmove", Price_Header,0))): INDIRECT(ADDRESS(ROW($O42),MATCH("Downmove", Price_Header,0)))))</f>
        <v>0.17071428571428576</v>
      </c>
      <c r="R42" s="46">
        <f ca="1">IF(tbl_VIXY[[#This Row],[Avg_Upmove]]="", "", tbl_VIXY[[#This Row],[Avg_Upmove]]/tbl_VIXY[[#This Row],[Avg_Downmove]])</f>
        <v>0.84518828451882955</v>
      </c>
      <c r="S42" s="10">
        <f ca="1">IF(ROW($N42)-4&lt;BB_Periods, "", _xlfn.STDEV.S(INDIRECT(ADDRESS(ROW($F42)-RSI_Periods +1, MATCH("Adj Close", Price_Header,0))): INDIRECT(ADDRESS(ROW($F42),MATCH("Adj Close", Price_Header,0)))))</f>
        <v>0.51821969120407652</v>
      </c>
    </row>
    <row r="43" spans="1:19" x14ac:dyDescent="0.35">
      <c r="A43" s="8">
        <v>44106</v>
      </c>
      <c r="B43" s="10">
        <v>21.53</v>
      </c>
      <c r="C43" s="10">
        <v>21.62</v>
      </c>
      <c r="D43" s="10">
        <v>20.74</v>
      </c>
      <c r="E43" s="10">
        <v>21.09</v>
      </c>
      <c r="F43" s="10">
        <v>21.09</v>
      </c>
      <c r="G43">
        <v>4973500</v>
      </c>
      <c r="H43" s="10">
        <f>IF(tbl_VIXY[[#This Row],[Date]]=$A$5, $F43, EMA_Beta*$H42 + (1-EMA_Beta)*$F43)</f>
        <v>20.985998741564323</v>
      </c>
      <c r="I43" s="46">
        <f ca="1">IF(tbl_VIXY[[#This Row],[RS]]= "", "", 100-(100/(1+tbl_VIXY[[#This Row],[RS]])))</f>
        <v>55.793991416309005</v>
      </c>
      <c r="J43" s="10">
        <f ca="1">IF(ROW($N43)-4&lt;BB_Periods, "", AVERAGE(INDIRECT(ADDRESS(ROW($F43)-RSI_Periods +1, MATCH("Adj Close", Price_Header,0))): INDIRECT(ADDRESS(ROW($F43),MATCH("Adj Close", Price_Header,0)))))</f>
        <v>20.709999999999997</v>
      </c>
      <c r="K43" s="10">
        <f ca="1">IF(tbl_VIXY[[#This Row],[BB_Mean]]="", "", tbl_VIXY[[#This Row],[BB_Mean]]+(BB_Width*tbl_VIXY[[#This Row],[BB_Stdev]]))</f>
        <v>21.766962265537057</v>
      </c>
      <c r="L43" s="10">
        <f ca="1">IF(tbl_VIXY[[#This Row],[BB_Mean]]="", "", tbl_VIXY[[#This Row],[BB_Mean]]-(BB_Width*tbl_VIXY[[#This Row],[BB_Stdev]]))</f>
        <v>19.653037734462938</v>
      </c>
      <c r="M43" s="46">
        <f>IF(ROW(tbl_VIXY[[#This Row],[Adj Close]])=5, 0, $F43-$F42)</f>
        <v>0.57999999999999829</v>
      </c>
      <c r="N43" s="46">
        <f>MAX(tbl_VIXY[[#This Row],[Move]],0)</f>
        <v>0.57999999999999829</v>
      </c>
      <c r="O43" s="46">
        <f>MAX(-tbl_VIXY[[#This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0.1857142857142858</v>
      </c>
      <c r="Q43" s="46">
        <f ca="1">IF(ROW($O43)-5&lt;RSI_Periods, "", AVERAGE(INDIRECT(ADDRESS(ROW($O43)-RSI_Periods +1, MATCH("Downmove", Price_Header,0))): INDIRECT(ADDRESS(ROW($O43),MATCH("Downmove", Price_Header,0)))))</f>
        <v>0.1471428571428573</v>
      </c>
      <c r="R43" s="46">
        <f ca="1">IF(tbl_VIXY[[#This Row],[Avg_Upmove]]="", "", tbl_VIXY[[#This Row],[Avg_Upmove]]/tbl_VIXY[[#This Row],[Avg_Downmove]])</f>
        <v>1.2621359223300963</v>
      </c>
      <c r="S43" s="10">
        <f ca="1">IF(ROW($N43)-4&lt;BB_Periods, "", _xlfn.STDEV.S(INDIRECT(ADDRESS(ROW($F43)-RSI_Periods +1, MATCH("Adj Close", Price_Header,0))): INDIRECT(ADDRESS(ROW($F43),MATCH("Adj Close", Price_Header,0)))))</f>
        <v>0.52848113276852915</v>
      </c>
    </row>
    <row r="44" spans="1:19" x14ac:dyDescent="0.35">
      <c r="A44" s="8">
        <v>44109</v>
      </c>
      <c r="B44" s="10">
        <v>20.92</v>
      </c>
      <c r="C44" s="10">
        <v>21.14</v>
      </c>
      <c r="D44" s="10">
        <v>20.32</v>
      </c>
      <c r="E44" s="10">
        <v>20.47</v>
      </c>
      <c r="F44" s="10">
        <v>20.47</v>
      </c>
      <c r="G44">
        <v>2574200</v>
      </c>
      <c r="H44" s="10">
        <f>IF(tbl_VIXY[[#This Row],[Date]]=$A$5, $F44, EMA_Beta*$H43 + (1-EMA_Beta)*$F44)</f>
        <v>20.934398867407893</v>
      </c>
      <c r="I44" s="46">
        <f ca="1">IF(tbl_VIXY[[#This Row],[RS]]= "", "", 100-(100/(1+tbl_VIXY[[#This Row],[RS]])))</f>
        <v>49.335863377609101</v>
      </c>
      <c r="J44" s="10">
        <f ca="1">IF(ROW($N44)-4&lt;BB_Periods, "", AVERAGE(INDIRECT(ADDRESS(ROW($F44)-RSI_Periods +1, MATCH("Adj Close", Price_Header,0))): INDIRECT(ADDRESS(ROW($F44),MATCH("Adj Close", Price_Header,0)))))</f>
        <v>20.705000000000002</v>
      </c>
      <c r="K44" s="10">
        <f ca="1">IF(tbl_VIXY[[#This Row],[BB_Mean]]="", "", tbl_VIXY[[#This Row],[BB_Mean]]+(BB_Width*tbl_VIXY[[#This Row],[BB_Stdev]]))</f>
        <v>21.766080726284439</v>
      </c>
      <c r="L44" s="10">
        <f ca="1">IF(tbl_VIXY[[#This Row],[BB_Mean]]="", "", tbl_VIXY[[#This Row],[BB_Mean]]-(BB_Width*tbl_VIXY[[#This Row],[BB_Stdev]]))</f>
        <v>19.643919273715564</v>
      </c>
      <c r="M44" s="46">
        <f>IF(ROW(tbl_VIXY[[#This Row],[Adj Close]])=5, 0, $F44-$F43)</f>
        <v>-0.62000000000000099</v>
      </c>
      <c r="N44" s="46">
        <f>MAX(tbl_VIXY[[#This Row],[Move]],0)</f>
        <v>0</v>
      </c>
      <c r="O44" s="46">
        <f>MAX(-tbl_VIXY[[#This Row],[Move]],0)</f>
        <v>0.62000000000000099</v>
      </c>
      <c r="P44" s="46">
        <f ca="1">IF(ROW($N44)-5&lt;RSI_Periods, "", AVERAGE(INDIRECT(ADDRESS(ROW($N44)-RSI_Periods +1, MATCH("Upmove", Price_Header,0))): INDIRECT(ADDRESS(ROW($N44),MATCH("Upmove", Price_Header,0)))))</f>
        <v>0.1857142857142858</v>
      </c>
      <c r="Q44" s="46">
        <f ca="1">IF(ROW($O44)-5&lt;RSI_Periods, "", AVERAGE(INDIRECT(ADDRESS(ROW($O44)-RSI_Periods +1, MATCH("Downmove", Price_Header,0))): INDIRECT(ADDRESS(ROW($O44),MATCH("Downmove", Price_Header,0)))))</f>
        <v>0.19071428571428584</v>
      </c>
      <c r="R44" s="46">
        <f ca="1">IF(tbl_VIXY[[#This Row],[Avg_Upmove]]="", "", tbl_VIXY[[#This Row],[Avg_Upmove]]/tbl_VIXY[[#This Row],[Avg_Downmove]])</f>
        <v>0.97378277153558035</v>
      </c>
      <c r="S44" s="10">
        <f ca="1">IF(ROW($N44)-4&lt;BB_Periods, "", _xlfn.STDEV.S(INDIRECT(ADDRESS(ROW($F44)-RSI_Periods +1, MATCH("Adj Close", Price_Header,0))): INDIRECT(ADDRESS(ROW($F44),MATCH("Adj Close", Price_Header,0)))))</f>
        <v>0.53054036314221842</v>
      </c>
    </row>
    <row r="45" spans="1:19" x14ac:dyDescent="0.35">
      <c r="A45" s="8">
        <v>44110</v>
      </c>
      <c r="B45" s="10">
        <v>20.29</v>
      </c>
      <c r="C45" s="10">
        <v>20.93</v>
      </c>
      <c r="D45" s="10">
        <v>19.920000000000002</v>
      </c>
      <c r="E45" s="10">
        <v>20.73</v>
      </c>
      <c r="F45" s="10">
        <v>220.73</v>
      </c>
      <c r="G45">
        <v>5479900</v>
      </c>
      <c r="H45" s="10">
        <f>IF(tbl_VIXY[[#This Row],[Date]]=$A$5, $F45, EMA_Beta*$H44 + (1-EMA_Beta)*$F45)</f>
        <v>40.913958980667097</v>
      </c>
      <c r="I45" s="46">
        <f ca="1">IF(tbl_VIXY[[#This Row],[RS]]= "", "", 100-(100/(1+tbl_VIXY[[#This Row],[RS]])))</f>
        <v>98.758580400175262</v>
      </c>
      <c r="J45" s="10">
        <f ca="1">IF(ROW($N45)-4&lt;BB_Periods, "", AVERAGE(INDIRECT(ADDRESS(ROW($F45)-RSI_Periods +1, MATCH("Adj Close", Price_Header,0))): INDIRECT(ADDRESS(ROW($F45),MATCH("Adj Close", Price_Header,0)))))</f>
        <v>35.012857142857136</v>
      </c>
      <c r="K45" s="10">
        <f ca="1">IF(tbl_VIXY[[#This Row],[BB_Mean]]="", "", tbl_VIXY[[#This Row],[BB_Mean]]+(BB_Width*tbl_VIXY[[#This Row],[BB_Stdev]]))</f>
        <v>141.92413838643245</v>
      </c>
      <c r="L45" s="10">
        <f ca="1">IF(tbl_VIXY[[#This Row],[BB_Mean]]="", "", tbl_VIXY[[#This Row],[BB_Mean]]-(BB_Width*tbl_VIXY[[#This Row],[BB_Stdev]]))</f>
        <v>-71.898424100718159</v>
      </c>
      <c r="M45" s="46">
        <f>IF(ROW(tbl_VIXY[[#This Row],[Adj Close]])=5, 0, $F45-$F44)</f>
        <v>200.26</v>
      </c>
      <c r="N45" s="46">
        <f>MAX(tbl_VIXY[[#This Row],[Move]],0)</f>
        <v>200.26</v>
      </c>
      <c r="O45" s="46">
        <f>MAX(-tbl_VIXY[[#This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14.489999999999998</v>
      </c>
      <c r="Q45" s="46">
        <f ca="1">IF(ROW($O45)-5&lt;RSI_Periods, "", AVERAGE(INDIRECT(ADDRESS(ROW($O45)-RSI_Periods +1, MATCH("Downmove", Price_Header,0))): INDIRECT(ADDRESS(ROW($O45),MATCH("Downmove", Price_Header,0)))))</f>
        <v>0.18214285714285744</v>
      </c>
      <c r="R45" s="46">
        <f ca="1">IF(tbl_VIXY[[#This Row],[Avg_Upmove]]="", "", tbl_VIXY[[#This Row],[Avg_Upmove]]/tbl_VIXY[[#This Row],[Avg_Downmove]])</f>
        <v>79.552941176470455</v>
      </c>
      <c r="S45" s="10">
        <f ca="1">IF(ROW($N45)-4&lt;BB_Periods, "", _xlfn.STDEV.S(INDIRECT(ADDRESS(ROW($F45)-RSI_Periods +1, MATCH("Adj Close", Price_Header,0))): INDIRECT(ADDRESS(ROW($F45),MATCH("Adj Close", Price_Header,0)))))</f>
        <v>53.455640621787651</v>
      </c>
    </row>
    <row r="46" spans="1:19" x14ac:dyDescent="0.35">
      <c r="A46" s="8">
        <v>44111</v>
      </c>
      <c r="B46" s="10">
        <v>20.329999999999998</v>
      </c>
      <c r="C46" s="10">
        <v>20.440000000000001</v>
      </c>
      <c r="D46" s="10">
        <v>19.940000000000001</v>
      </c>
      <c r="E46" s="10">
        <v>20.079999999999998</v>
      </c>
      <c r="F46" s="10">
        <v>20.079999999999998</v>
      </c>
      <c r="G46">
        <v>2458900</v>
      </c>
      <c r="H46" s="10">
        <f>IF(tbl_VIXY[[#This Row],[Date]]=$A$5, $F46, EMA_Beta*$H45 + (1-EMA_Beta)*$F46)</f>
        <v>38.830563082600392</v>
      </c>
      <c r="I46" s="46">
        <f ca="1">IF(tbl_VIXY[[#This Row],[RS]]= "", "", 100-(100/(1+tbl_VIXY[[#This Row],[RS]])))</f>
        <v>50.013559823475752</v>
      </c>
      <c r="J46" s="10">
        <f ca="1">IF(ROW($N46)-4&lt;BB_Periods, "", AVERAGE(INDIRECT(ADDRESS(ROW($F46)-RSI_Periods +1, MATCH("Adj Close", Price_Header,0))): INDIRECT(ADDRESS(ROW($F46),MATCH("Adj Close", Price_Header,0)))))</f>
        <v>35.020714285714284</v>
      </c>
      <c r="K46" s="10">
        <f ca="1">IF(tbl_VIXY[[#This Row],[BB_Mean]]="", "", tbl_VIXY[[#This Row],[BB_Mean]]+(BB_Width*tbl_VIXY[[#This Row],[BB_Stdev]]))</f>
        <v>141.92724929911481</v>
      </c>
      <c r="L46" s="10">
        <f ca="1">IF(tbl_VIXY[[#This Row],[BB_Mean]]="", "", tbl_VIXY[[#This Row],[BB_Mean]]-(BB_Width*tbl_VIXY[[#This Row],[BB_Stdev]]))</f>
        <v>-71.885820727686223</v>
      </c>
      <c r="M46" s="46">
        <f>IF(ROW(tbl_VIXY[[#This Row],[Adj Close]])=5, 0, $F46-$F45)</f>
        <v>-200.64999999999998</v>
      </c>
      <c r="N46" s="46">
        <f>MAX(tbl_VIXY[[#This Row],[Move]],0)</f>
        <v>0</v>
      </c>
      <c r="O46" s="46">
        <f>MAX(-tbl_VIXY[[#This Row],[Move]],0)</f>
        <v>200.64999999999998</v>
      </c>
      <c r="P46" s="46">
        <f ca="1">IF(ROW($N46)-5&lt;RSI_Periods, "", AVERAGE(INDIRECT(ADDRESS(ROW($N46)-RSI_Periods +1, MATCH("Upmove", Price_Header,0))): INDIRECT(ADDRESS(ROW($N46),MATCH("Upmove", Price_Header,0)))))</f>
        <v>14.489999999999998</v>
      </c>
      <c r="Q46" s="46">
        <f ca="1">IF(ROW($O46)-5&lt;RSI_Periods, "", AVERAGE(INDIRECT(ADDRESS(ROW($O46)-RSI_Periods +1, MATCH("Downmove", Price_Header,0))): INDIRECT(ADDRESS(ROW($O46),MATCH("Downmove", Price_Header,0)))))</f>
        <v>14.482142857142856</v>
      </c>
      <c r="R46" s="46">
        <f ca="1">IF(tbl_VIXY[[#This Row],[Avg_Upmove]]="", "", tbl_VIXY[[#This Row],[Avg_Upmove]]/tbl_VIXY[[#This Row],[Avg_Downmove]])</f>
        <v>1.0005425400739827</v>
      </c>
      <c r="S46" s="10">
        <f ca="1">IF(ROW($N46)-4&lt;BB_Periods, "", _xlfn.STDEV.S(INDIRECT(ADDRESS(ROW($F46)-RSI_Periods +1, MATCH("Adj Close", Price_Header,0))): INDIRECT(ADDRESS(ROW($F46),MATCH("Adj Close", Price_Header,0)))))</f>
        <v>53.453267506700257</v>
      </c>
    </row>
    <row r="47" spans="1:19" x14ac:dyDescent="0.35">
      <c r="A47" s="8">
        <v>44112</v>
      </c>
      <c r="B47" s="10">
        <v>19.82</v>
      </c>
      <c r="C47" s="10">
        <v>19.96</v>
      </c>
      <c r="D47" s="10">
        <v>19.239999999999998</v>
      </c>
      <c r="E47" s="10">
        <v>19.29</v>
      </c>
      <c r="F47" s="10">
        <v>19.29</v>
      </c>
      <c r="G47">
        <v>3312800</v>
      </c>
      <c r="H47" s="10">
        <f>IF(tbl_VIXY[[#This Row],[Date]]=$A$5, $F47, EMA_Beta*$H46 + (1-EMA_Beta)*$F47)</f>
        <v>36.876506774340356</v>
      </c>
      <c r="I47" s="46">
        <f ca="1">IF(tbl_VIXY[[#This Row],[RS]]= "", "", 100-(100/(1+tbl_VIXY[[#This Row],[RS]])))</f>
        <v>49.915106178793778</v>
      </c>
      <c r="J47" s="10">
        <f ca="1">IF(ROW($N47)-4&lt;BB_Periods, "", AVERAGE(INDIRECT(ADDRESS(ROW($F47)-RSI_Periods +1, MATCH("Adj Close", Price_Header,0))): INDIRECT(ADDRESS(ROW($F47),MATCH("Adj Close", Price_Header,0)))))</f>
        <v>34.971428571428575</v>
      </c>
      <c r="K47" s="10">
        <f ca="1">IF(tbl_VIXY[[#This Row],[BB_Mean]]="", "", tbl_VIXY[[#This Row],[BB_Mean]]+(BB_Width*tbl_VIXY[[#This Row],[BB_Stdev]]))</f>
        <v>141.90846507340098</v>
      </c>
      <c r="L47" s="10">
        <f ca="1">IF(tbl_VIXY[[#This Row],[BB_Mean]]="", "", tbl_VIXY[[#This Row],[BB_Mean]]-(BB_Width*tbl_VIXY[[#This Row],[BB_Stdev]]))</f>
        <v>-71.965607930543811</v>
      </c>
      <c r="M47" s="46">
        <f>IF(ROW(tbl_VIXY[[#This Row],[Adj Close]])=5, 0, $F47-$F46)</f>
        <v>-0.78999999999999915</v>
      </c>
      <c r="N47" s="46">
        <f>MAX(tbl_VIXY[[#This Row],[Move]],0)</f>
        <v>0</v>
      </c>
      <c r="O47" s="46">
        <f>MAX(-tbl_VIXY[[#This Row],[Move]],0)</f>
        <v>0.78999999999999915</v>
      </c>
      <c r="P47" s="46">
        <f ca="1">IF(ROW($N47)-5&lt;RSI_Periods, "", AVERAGE(INDIRECT(ADDRESS(ROW($N47)-RSI_Periods +1, MATCH("Upmove", Price_Header,0))): INDIRECT(ADDRESS(ROW($N47),MATCH("Upmove", Price_Header,0)))))</f>
        <v>14.489285714285714</v>
      </c>
      <c r="Q47" s="46">
        <f ca="1">IF(ROW($O47)-5&lt;RSI_Periods, "", AVERAGE(INDIRECT(ADDRESS(ROW($O47)-RSI_Periods +1, MATCH("Downmove", Price_Header,0))): INDIRECT(ADDRESS(ROW($O47),MATCH("Downmove", Price_Header,0)))))</f>
        <v>14.538571428571426</v>
      </c>
      <c r="R47" s="46">
        <f ca="1">IF(tbl_VIXY[[#This Row],[Avg_Upmove]]="", "", tbl_VIXY[[#This Row],[Avg_Upmove]]/tbl_VIXY[[#This Row],[Avg_Downmove]])</f>
        <v>0.99661000294782365</v>
      </c>
      <c r="S47" s="10">
        <f ca="1">IF(ROW($N47)-4&lt;BB_Periods, "", _xlfn.STDEV.S(INDIRECT(ADDRESS(ROW($F47)-RSI_Periods +1, MATCH("Adj Close", Price_Header,0))): INDIRECT(ADDRESS(ROW($F47),MATCH("Adj Close", Price_Header,0)))))</f>
        <v>53.468518250986193</v>
      </c>
    </row>
    <row r="48" spans="1:19" x14ac:dyDescent="0.35">
      <c r="A48" s="8">
        <v>44113</v>
      </c>
      <c r="B48" s="10">
        <v>18.68</v>
      </c>
      <c r="C48" s="10">
        <v>18.7</v>
      </c>
      <c r="D48" s="10">
        <v>18.260000000000002</v>
      </c>
      <c r="E48" s="10">
        <v>18.27</v>
      </c>
      <c r="F48" s="10">
        <v>18.27</v>
      </c>
      <c r="G48">
        <v>3879100</v>
      </c>
      <c r="H48" s="10">
        <f>IF(tbl_VIXY[[#This Row],[Date]]=$A$5, $F48, EMA_Beta*$H47 + (1-EMA_Beta)*$F48)</f>
        <v>35.015856096906319</v>
      </c>
      <c r="I48" s="46">
        <f ca="1">IF(tbl_VIXY[[#This Row],[RS]]= "", "", 100-(100/(1+tbl_VIXY[[#This Row],[RS]])))</f>
        <v>49.708666256914569</v>
      </c>
      <c r="J48" s="10">
        <f ca="1">IF(ROW($N48)-4&lt;BB_Periods, "", AVERAGE(INDIRECT(ADDRESS(ROW($F48)-RSI_Periods +1, MATCH("Adj Close", Price_Header,0))): INDIRECT(ADDRESS(ROW($F48),MATCH("Adj Close", Price_Header,0)))))</f>
        <v>34.802142857142854</v>
      </c>
      <c r="K48" s="10">
        <f ca="1">IF(tbl_VIXY[[#This Row],[BB_Mean]]="", "", tbl_VIXY[[#This Row],[BB_Mean]]+(BB_Width*tbl_VIXY[[#This Row],[BB_Stdev]]))</f>
        <v>141.84436089170265</v>
      </c>
      <c r="L48" s="10">
        <f ca="1">IF(tbl_VIXY[[#This Row],[BB_Mean]]="", "", tbl_VIXY[[#This Row],[BB_Mean]]-(BB_Width*tbl_VIXY[[#This Row],[BB_Stdev]]))</f>
        <v>-72.240075177416955</v>
      </c>
      <c r="M48" s="46">
        <f>IF(ROW(tbl_VIXY[[#This Row],[Adj Close]])=5, 0, $F48-$F47)</f>
        <v>-1.0199999999999996</v>
      </c>
      <c r="N48" s="46">
        <f>MAX(tbl_VIXY[[#This Row],[Move]],0)</f>
        <v>0</v>
      </c>
      <c r="O48" s="46">
        <f>MAX(-tbl_VIXY[[#This Row],[Move]],0)</f>
        <v>1.0199999999999996</v>
      </c>
      <c r="P48" s="46">
        <f ca="1">IF(ROW($N48)-5&lt;RSI_Periods, "", AVERAGE(INDIRECT(ADDRESS(ROW($N48)-RSI_Periods +1, MATCH("Upmove", Price_Header,0))): INDIRECT(ADDRESS(ROW($N48),MATCH("Upmove", Price_Header,0)))))</f>
        <v>14.442142857142857</v>
      </c>
      <c r="Q48" s="46">
        <f ca="1">IF(ROW($O48)-5&lt;RSI_Periods, "", AVERAGE(INDIRECT(ADDRESS(ROW($O48)-RSI_Periods +1, MATCH("Downmove", Price_Header,0))): INDIRECT(ADDRESS(ROW($O48),MATCH("Downmove", Price_Header,0)))))</f>
        <v>14.61142857142857</v>
      </c>
      <c r="R48" s="46">
        <f ca="1">IF(tbl_VIXY[[#This Row],[Avg_Upmove]]="", "", tbl_VIXY[[#This Row],[Avg_Upmove]]/tbl_VIXY[[#This Row],[Avg_Downmove]])</f>
        <v>0.98841415721548698</v>
      </c>
      <c r="S48" s="10">
        <f ca="1">IF(ROW($N48)-4&lt;BB_Periods, "", _xlfn.STDEV.S(INDIRECT(ADDRESS(ROW($F48)-RSI_Periods +1, MATCH("Adj Close", Price_Header,0))): INDIRECT(ADDRESS(ROW($F48),MATCH("Adj Close", Price_Header,0)))))</f>
        <v>53.521109017279905</v>
      </c>
    </row>
    <row r="49" spans="1:19" x14ac:dyDescent="0.35">
      <c r="A49" s="8">
        <v>44116</v>
      </c>
      <c r="B49" s="10">
        <v>17.95</v>
      </c>
      <c r="C49" s="10">
        <v>18.260000000000002</v>
      </c>
      <c r="D49" s="10">
        <v>17.86</v>
      </c>
      <c r="E49" s="10">
        <v>17.93</v>
      </c>
      <c r="F49" s="10">
        <v>17.93</v>
      </c>
      <c r="G49">
        <v>2735600</v>
      </c>
      <c r="H49" s="10">
        <f>IF(tbl_VIXY[[#This Row],[Date]]=$A$5, $F49, EMA_Beta*$H48 + (1-EMA_Beta)*$F49)</f>
        <v>33.307270487215689</v>
      </c>
      <c r="I49" s="46">
        <f ca="1">IF(tbl_VIXY[[#This Row],[RS]]= "", "", 100-(100/(1+tbl_VIXY[[#This Row],[RS]])))</f>
        <v>49.649834131957242</v>
      </c>
      <c r="J49" s="10">
        <f ca="1">IF(ROW($N49)-4&lt;BB_Periods, "", AVERAGE(INDIRECT(ADDRESS(ROW($F49)-RSI_Periods +1, MATCH("Adj Close", Price_Header,0))): INDIRECT(ADDRESS(ROW($F49),MATCH("Adj Close", Price_Header,0)))))</f>
        <v>34.598571428571425</v>
      </c>
      <c r="K49" s="10">
        <f ca="1">IF(tbl_VIXY[[#This Row],[BB_Mean]]="", "", tbl_VIXY[[#This Row],[BB_Mean]]+(BB_Width*tbl_VIXY[[#This Row],[BB_Stdev]]))</f>
        <v>141.76642965743889</v>
      </c>
      <c r="L49" s="10">
        <f ca="1">IF(tbl_VIXY[[#This Row],[BB_Mean]]="", "", tbl_VIXY[[#This Row],[BB_Mean]]-(BB_Width*tbl_VIXY[[#This Row],[BB_Stdev]]))</f>
        <v>-72.569286800296055</v>
      </c>
      <c r="M49" s="46">
        <f>IF(ROW(tbl_VIXY[[#This Row],[Adj Close]])=5, 0, $F49-$F48)</f>
        <v>-0.33999999999999986</v>
      </c>
      <c r="N49" s="46">
        <f>MAX(tbl_VIXY[[#This Row],[Move]],0)</f>
        <v>0</v>
      </c>
      <c r="O49" s="46">
        <f>MAX(-tbl_VIXY[[#This Row],[Move]],0)</f>
        <v>0.33999999999999986</v>
      </c>
      <c r="P49" s="46">
        <f ca="1">IF(ROW($N49)-5&lt;RSI_Periods, "", AVERAGE(INDIRECT(ADDRESS(ROW($N49)-RSI_Periods +1, MATCH("Upmove", Price_Header,0))): INDIRECT(ADDRESS(ROW($N49),MATCH("Upmove", Price_Header,0)))))</f>
        <v>14.432142857142855</v>
      </c>
      <c r="Q49" s="46">
        <f ca="1">IF(ROW($O49)-5&lt;RSI_Periods, "", AVERAGE(INDIRECT(ADDRESS(ROW($O49)-RSI_Periods +1, MATCH("Downmove", Price_Header,0))): INDIRECT(ADDRESS(ROW($O49),MATCH("Downmove", Price_Header,0)))))</f>
        <v>14.635714285714284</v>
      </c>
      <c r="R49" s="46">
        <f ca="1">IF(tbl_VIXY[[#This Row],[Avg_Upmove]]="", "", tbl_VIXY[[#This Row],[Avg_Upmove]]/tbl_VIXY[[#This Row],[Avg_Downmove]])</f>
        <v>0.98609077598828687</v>
      </c>
      <c r="S49" s="10">
        <f ca="1">IF(ROW($N49)-4&lt;BB_Periods, "", _xlfn.STDEV.S(INDIRECT(ADDRESS(ROW($F49)-RSI_Periods +1, MATCH("Adj Close", Price_Header,0))): INDIRECT(ADDRESS(ROW($F49),MATCH("Adj Close", Price_Header,0)))))</f>
        <v>53.583929114433737</v>
      </c>
    </row>
    <row r="50" spans="1:19" x14ac:dyDescent="0.35">
      <c r="A50" s="8">
        <v>44117</v>
      </c>
      <c r="B50" s="10">
        <v>18.13</v>
      </c>
      <c r="C50" s="10">
        <v>18.510000000000002</v>
      </c>
      <c r="D50" s="10">
        <v>18.010000000000002</v>
      </c>
      <c r="E50" s="10">
        <v>18.12</v>
      </c>
      <c r="F50" s="10">
        <v>18.12</v>
      </c>
      <c r="G50">
        <v>3750100</v>
      </c>
      <c r="H50" s="10">
        <f>IF(tbl_VIXY[[#This Row],[Date]]=$A$5, $F50, EMA_Beta*$H49 + (1-EMA_Beta)*$F50)</f>
        <v>31.788543438494123</v>
      </c>
      <c r="I50" s="46">
        <f ca="1">IF(tbl_VIXY[[#This Row],[RS]]= "", "", 100-(100/(1+tbl_VIXY[[#This Row],[RS]])))</f>
        <v>49.535748590005667</v>
      </c>
      <c r="J50" s="10">
        <f ca="1">IF(ROW($N50)-4&lt;BB_Periods, "", AVERAGE(INDIRECT(ADDRESS(ROW($F50)-RSI_Periods +1, MATCH("Adj Close", Price_Header,0))): INDIRECT(ADDRESS(ROW($F50),MATCH("Adj Close", Price_Header,0)))))</f>
        <v>34.32928571428571</v>
      </c>
      <c r="K50" s="10">
        <f ca="1">IF(tbl_VIXY[[#This Row],[BB_Mean]]="", "", tbl_VIXY[[#This Row],[BB_Mean]]+(BB_Width*tbl_VIXY[[#This Row],[BB_Stdev]]))</f>
        <v>141.65353531170126</v>
      </c>
      <c r="L50" s="10">
        <f ca="1">IF(tbl_VIXY[[#This Row],[BB_Mean]]="", "", tbl_VIXY[[#This Row],[BB_Mean]]-(BB_Width*tbl_VIXY[[#This Row],[BB_Stdev]]))</f>
        <v>-72.994963883129827</v>
      </c>
      <c r="M50" s="46">
        <f>IF(ROW(tbl_VIXY[[#This Row],[Adj Close]])=5, 0, $F50-$F49)</f>
        <v>0.19000000000000128</v>
      </c>
      <c r="N50" s="46">
        <f>MAX(tbl_VIXY[[#This Row],[Move]],0)</f>
        <v>0.19000000000000128</v>
      </c>
      <c r="O50" s="46">
        <f>MAX(-tbl_VIXY[[#This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14.366428571428571</v>
      </c>
      <c r="Q50" s="46">
        <f ca="1">IF(ROW($O50)-5&lt;RSI_Periods, "", AVERAGE(INDIRECT(ADDRESS(ROW($O50)-RSI_Periods +1, MATCH("Downmove", Price_Header,0))): INDIRECT(ADDRESS(ROW($O50),MATCH("Downmove", Price_Header,0)))))</f>
        <v>14.635714285714284</v>
      </c>
      <c r="R50" s="46">
        <f ca="1">IF(tbl_VIXY[[#This Row],[Avg_Upmove]]="", "", tbl_VIXY[[#This Row],[Avg_Upmove]]/tbl_VIXY[[#This Row],[Avg_Downmove]])</f>
        <v>0.98160078086871649</v>
      </c>
      <c r="S50" s="10">
        <f ca="1">IF(ROW($N50)-4&lt;BB_Periods, "", _xlfn.STDEV.S(INDIRECT(ADDRESS(ROW($F50)-RSI_Periods +1, MATCH("Adj Close", Price_Header,0))): INDIRECT(ADDRESS(ROW($F50),MATCH("Adj Close", Price_Header,0)))))</f>
        <v>53.662124798707772</v>
      </c>
    </row>
    <row r="51" spans="1:19" x14ac:dyDescent="0.35">
      <c r="A51" s="8">
        <v>44118</v>
      </c>
      <c r="B51" s="10">
        <v>17.989999999999998</v>
      </c>
      <c r="C51" s="10">
        <v>18.25</v>
      </c>
      <c r="D51" s="10">
        <v>17.68</v>
      </c>
      <c r="E51" s="10">
        <v>17.97</v>
      </c>
      <c r="F51" s="10">
        <v>17.97</v>
      </c>
      <c r="G51">
        <v>4802600</v>
      </c>
      <c r="H51" s="10">
        <f>IF(tbl_VIXY[[#This Row],[Date]]=$A$5, $F51, EMA_Beta*$H50 + (1-EMA_Beta)*$F51)</f>
        <v>30.406689094644712</v>
      </c>
      <c r="I51" s="46">
        <f ca="1">IF(tbl_VIXY[[#This Row],[RS]]= "", "", 100-(100/(1+tbl_VIXY[[#This Row],[RS]])))</f>
        <v>49.565045959732863</v>
      </c>
      <c r="J51" s="10">
        <f ca="1">IF(ROW($N51)-4&lt;BB_Periods, "", AVERAGE(INDIRECT(ADDRESS(ROW($F51)-RSI_Periods +1, MATCH("Adj Close", Price_Header,0))): INDIRECT(ADDRESS(ROW($F51),MATCH("Adj Close", Price_Header,0)))))</f>
        <v>34.077142857142853</v>
      </c>
      <c r="K51" s="10">
        <f ca="1">IF(tbl_VIXY[[#This Row],[BB_Mean]]="", "", tbl_VIXY[[#This Row],[BB_Mean]]+(BB_Width*tbl_VIXY[[#This Row],[BB_Stdev]]))</f>
        <v>141.54771540998246</v>
      </c>
      <c r="L51" s="10">
        <f ca="1">IF(tbl_VIXY[[#This Row],[BB_Mean]]="", "", tbl_VIXY[[#This Row],[BB_Mean]]-(BB_Width*tbl_VIXY[[#This Row],[BB_Stdev]]))</f>
        <v>-73.393429695696767</v>
      </c>
      <c r="M51" s="46">
        <f>IF(ROW(tbl_VIXY[[#This Row],[Adj Close]])=5, 0, $F51-$F50)</f>
        <v>-0.15000000000000213</v>
      </c>
      <c r="N51" s="46">
        <f>MAX(tbl_VIXY[[#This Row],[Move]],0)</f>
        <v>0</v>
      </c>
      <c r="O51" s="46">
        <f>MAX(-tbl_VIXY[[#This Row],[Move]],0)</f>
        <v>0.15000000000000213</v>
      </c>
      <c r="P51" s="46">
        <f ca="1">IF(ROW($N51)-5&lt;RSI_Periods, "", AVERAGE(INDIRECT(ADDRESS(ROW($N51)-RSI_Periods +1, MATCH("Upmove", Price_Header,0))): INDIRECT(ADDRESS(ROW($N51),MATCH("Upmove", Price_Header,0)))))</f>
        <v>14.366428571428571</v>
      </c>
      <c r="Q51" s="46">
        <f ca="1">IF(ROW($O51)-5&lt;RSI_Periods, "", AVERAGE(INDIRECT(ADDRESS(ROW($O51)-RSI_Periods +1, MATCH("Downmove", Price_Header,0))): INDIRECT(ADDRESS(ROW($O51),MATCH("Downmove", Price_Header,0)))))</f>
        <v>14.618571428571428</v>
      </c>
      <c r="R51" s="46">
        <f ca="1">IF(tbl_VIXY[[#This Row],[Avg_Upmove]]="", "", tbl_VIXY[[#This Row],[Avg_Upmove]]/tbl_VIXY[[#This Row],[Avg_Downmove]])</f>
        <v>0.98275188116876766</v>
      </c>
      <c r="S51" s="10">
        <f ca="1">IF(ROW($N51)-4&lt;BB_Periods, "", _xlfn.STDEV.S(INDIRECT(ADDRESS(ROW($F51)-RSI_Periods +1, MATCH("Adj Close", Price_Header,0))): INDIRECT(ADDRESS(ROW($F51),MATCH("Adj Close", Price_Header,0)))))</f>
        <v>53.735286276419806</v>
      </c>
    </row>
    <row r="52" spans="1:19" x14ac:dyDescent="0.35">
      <c r="A52" s="8">
        <v>44119</v>
      </c>
      <c r="B52" s="10">
        <v>18.739999999999998</v>
      </c>
      <c r="C52" s="10">
        <v>18.93</v>
      </c>
      <c r="D52" s="10">
        <v>18.07</v>
      </c>
      <c r="E52" s="10">
        <v>18.11</v>
      </c>
      <c r="F52" s="10">
        <v>18.11</v>
      </c>
      <c r="G52">
        <v>3555800</v>
      </c>
      <c r="H52" s="10">
        <f>IF(tbl_VIXY[[#This Row],[Date]]=$A$5, $F52, EMA_Beta*$H51 + (1-EMA_Beta)*$F52)</f>
        <v>29.17702018518024</v>
      </c>
      <c r="I52" s="46">
        <f ca="1">IF(tbl_VIXY[[#This Row],[RS]]= "", "", 100-(100/(1+tbl_VIXY[[#This Row],[RS]])))</f>
        <v>49.653385962748246</v>
      </c>
      <c r="J52" s="10">
        <f ca="1">IF(ROW($N52)-4&lt;BB_Periods, "", AVERAGE(INDIRECT(ADDRESS(ROW($F52)-RSI_Periods +1, MATCH("Adj Close", Price_Header,0))): INDIRECT(ADDRESS(ROW($F52),MATCH("Adj Close", Price_Header,0)))))</f>
        <v>33.876428571428569</v>
      </c>
      <c r="K52" s="10">
        <f ca="1">IF(tbl_VIXY[[#This Row],[BB_Mean]]="", "", tbl_VIXY[[#This Row],[BB_Mean]]+(BB_Width*tbl_VIXY[[#This Row],[BB_Stdev]]))</f>
        <v>141.46328524858188</v>
      </c>
      <c r="L52" s="10">
        <f ca="1">IF(tbl_VIXY[[#This Row],[BB_Mean]]="", "", tbl_VIXY[[#This Row],[BB_Mean]]-(BB_Width*tbl_VIXY[[#This Row],[BB_Stdev]]))</f>
        <v>-73.710428105724731</v>
      </c>
      <c r="M52" s="46">
        <f>IF(ROW(tbl_VIXY[[#This Row],[Adj Close]])=5, 0, $F52-$F51)</f>
        <v>0.14000000000000057</v>
      </c>
      <c r="N52" s="46">
        <f>MAX(tbl_VIXY[[#This Row],[Move]],0)</f>
        <v>0.14000000000000057</v>
      </c>
      <c r="O52" s="46">
        <f>MAX(-tbl_VIXY[[#This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14.376428571428571</v>
      </c>
      <c r="Q52" s="46">
        <f ca="1">IF(ROW($O52)-5&lt;RSI_Periods, "", AVERAGE(INDIRECT(ADDRESS(ROW($O52)-RSI_Periods +1, MATCH("Downmove", Price_Header,0))): INDIRECT(ADDRESS(ROW($O52),MATCH("Downmove", Price_Header,0)))))</f>
        <v>14.577142857142857</v>
      </c>
      <c r="R52" s="46">
        <f ca="1">IF(tbl_VIXY[[#This Row],[Avg_Upmove]]="", "", tbl_VIXY[[#This Row],[Avg_Upmove]]/tbl_VIXY[[#This Row],[Avg_Downmove]])</f>
        <v>0.98623088984711882</v>
      </c>
      <c r="S52" s="10">
        <f ca="1">IF(ROW($N52)-4&lt;BB_Periods, "", _xlfn.STDEV.S(INDIRECT(ADDRESS(ROW($F52)-RSI_Periods +1, MATCH("Adj Close", Price_Header,0))): INDIRECT(ADDRESS(ROW($F52),MATCH("Adj Close", Price_Header,0)))))</f>
        <v>53.793428338576653</v>
      </c>
    </row>
    <row r="53" spans="1:19" x14ac:dyDescent="0.35">
      <c r="A53" s="8">
        <v>44120</v>
      </c>
      <c r="B53" s="10">
        <v>18.09</v>
      </c>
      <c r="C53" s="10">
        <v>18.25</v>
      </c>
      <c r="D53" s="10">
        <v>17.829999999999998</v>
      </c>
      <c r="E53" s="10">
        <v>18.23</v>
      </c>
      <c r="F53" s="10">
        <v>18.23</v>
      </c>
      <c r="G53">
        <v>2403100</v>
      </c>
      <c r="H53" s="10">
        <f>IF(tbl_VIXY[[#This Row],[Date]]=$A$5, $F53, EMA_Beta*$H52 + (1-EMA_Beta)*$F53)</f>
        <v>28.082318166662215</v>
      </c>
      <c r="I53" s="46">
        <f ca="1">IF(tbl_VIXY[[#This Row],[RS]]= "", "", 100-(100/(1+tbl_VIXY[[#This Row],[RS]])))</f>
        <v>49.676862358164776</v>
      </c>
      <c r="J53" s="10">
        <f ca="1">IF(ROW($N53)-4&lt;BB_Periods, "", AVERAGE(INDIRECT(ADDRESS(ROW($F53)-RSI_Periods +1, MATCH("Adj Close", Price_Header,0))): INDIRECT(ADDRESS(ROW($F53),MATCH("Adj Close", Price_Header,0)))))</f>
        <v>33.68928571428571</v>
      </c>
      <c r="K53" s="10">
        <f ca="1">IF(tbl_VIXY[[#This Row],[BB_Mean]]="", "", tbl_VIXY[[#This Row],[BB_Mean]]+(BB_Width*tbl_VIXY[[#This Row],[BB_Stdev]]))</f>
        <v>141.3828119719127</v>
      </c>
      <c r="L53" s="10">
        <f ca="1">IF(tbl_VIXY[[#This Row],[BB_Mean]]="", "", tbl_VIXY[[#This Row],[BB_Mean]]-(BB_Width*tbl_VIXY[[#This Row],[BB_Stdev]]))</f>
        <v>-74.004240543341297</v>
      </c>
      <c r="M53" s="46">
        <f>IF(ROW(tbl_VIXY[[#This Row],[Adj Close]])=5, 0, $F53-$F52)</f>
        <v>0.12000000000000099</v>
      </c>
      <c r="N53" s="46">
        <f>MAX(tbl_VIXY[[#This Row],[Move]],0)</f>
        <v>0.12000000000000099</v>
      </c>
      <c r="O53" s="46">
        <f>MAX(-tbl_VIXY[[#This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14.385</v>
      </c>
      <c r="Q53" s="46">
        <f ca="1">IF(ROW($O53)-5&lt;RSI_Periods, "", AVERAGE(INDIRECT(ADDRESS(ROW($O53)-RSI_Periods +1, MATCH("Downmove", Price_Header,0))): INDIRECT(ADDRESS(ROW($O53),MATCH("Downmove", Price_Header,0)))))</f>
        <v>14.572142857142856</v>
      </c>
      <c r="R53" s="46">
        <f ca="1">IF(tbl_VIXY[[#This Row],[Avg_Upmove]]="", "", tbl_VIXY[[#This Row],[Avg_Upmove]]/tbl_VIXY[[#This Row],[Avg_Downmove]])</f>
        <v>0.98715749227979033</v>
      </c>
      <c r="S53" s="10">
        <f ca="1">IF(ROW($N53)-4&lt;BB_Periods, "", _xlfn.STDEV.S(INDIRECT(ADDRESS(ROW($F53)-RSI_Periods +1, MATCH("Adj Close", Price_Header,0))): INDIRECT(ADDRESS(ROW($F53),MATCH("Adj Close", Price_Header,0)))))</f>
        <v>53.8467631288135</v>
      </c>
    </row>
    <row r="54" spans="1:19" x14ac:dyDescent="0.35">
      <c r="A54" s="8">
        <v>44123</v>
      </c>
      <c r="B54" s="10">
        <v>18.149999999999999</v>
      </c>
      <c r="C54" s="10">
        <v>19.16</v>
      </c>
      <c r="D54" s="10">
        <v>18.13</v>
      </c>
      <c r="E54" s="10">
        <v>19.04</v>
      </c>
      <c r="F54" s="10">
        <v>19.04</v>
      </c>
      <c r="G54">
        <v>3751500</v>
      </c>
      <c r="H54" s="10">
        <f>IF(tbl_VIXY[[#This Row],[Date]]=$A$5, $F54, EMA_Beta*$H53 + (1-EMA_Beta)*$F54)</f>
        <v>27.178086349995993</v>
      </c>
      <c r="I54" s="46">
        <f ca="1">IF(tbl_VIXY[[#This Row],[RS]]= "", "", 100-(100/(1+tbl_VIXY[[#This Row],[RS]])))</f>
        <v>49.827501232134054</v>
      </c>
      <c r="J54" s="10">
        <f ca="1">IF(ROW($N54)-4&lt;BB_Periods, "", AVERAGE(INDIRECT(ADDRESS(ROW($F54)-RSI_Periods +1, MATCH("Adj Close", Price_Header,0))): INDIRECT(ADDRESS(ROW($F54),MATCH("Adj Close", Price_Header,0)))))</f>
        <v>33.589285714285715</v>
      </c>
      <c r="K54" s="10">
        <f ca="1">IF(tbl_VIXY[[#This Row],[BB_Mean]]="", "", tbl_VIXY[[#This Row],[BB_Mean]]+(BB_Width*tbl_VIXY[[#This Row],[BB_Stdev]]))</f>
        <v>141.33839414230457</v>
      </c>
      <c r="L54" s="10">
        <f ca="1">IF(tbl_VIXY[[#This Row],[BB_Mean]]="", "", tbl_VIXY[[#This Row],[BB_Mean]]-(BB_Width*tbl_VIXY[[#This Row],[BB_Stdev]]))</f>
        <v>-74.159822713733149</v>
      </c>
      <c r="M54" s="46">
        <f>IF(ROW(tbl_VIXY[[#This Row],[Adj Close]])=5, 0, $F54-$F53)</f>
        <v>0.80999999999999872</v>
      </c>
      <c r="N54" s="46">
        <f>MAX(tbl_VIXY[[#This Row],[Move]],0)</f>
        <v>0.80999999999999872</v>
      </c>
      <c r="O54" s="46">
        <f>MAX(-tbl_VIXY[[#This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14.442857142857141</v>
      </c>
      <c r="Q54" s="46">
        <f ca="1">IF(ROW($O54)-5&lt;RSI_Periods, "", AVERAGE(INDIRECT(ADDRESS(ROW($O54)-RSI_Periods +1, MATCH("Downmove", Price_Header,0))): INDIRECT(ADDRESS(ROW($O54),MATCH("Downmove", Price_Header,0)))))</f>
        <v>14.542857142857143</v>
      </c>
      <c r="R54" s="46">
        <f ca="1">IF(tbl_VIXY[[#This Row],[Avg_Upmove]]="", "", tbl_VIXY[[#This Row],[Avg_Upmove]]/tbl_VIXY[[#This Row],[Avg_Downmove]])</f>
        <v>0.99312377210216096</v>
      </c>
      <c r="S54" s="10">
        <f ca="1">IF(ROW($N54)-4&lt;BB_Periods, "", _xlfn.STDEV.S(INDIRECT(ADDRESS(ROW($F54)-RSI_Periods +1, MATCH("Adj Close", Price_Header,0))): INDIRECT(ADDRESS(ROW($F54),MATCH("Adj Close", Price_Header,0)))))</f>
        <v>53.874554214009429</v>
      </c>
    </row>
    <row r="55" spans="1:19" x14ac:dyDescent="0.35">
      <c r="A55" s="8">
        <v>44124</v>
      </c>
      <c r="B55" s="10">
        <v>18.91</v>
      </c>
      <c r="C55" s="10">
        <v>19.12</v>
      </c>
      <c r="D55" s="10">
        <v>18.75</v>
      </c>
      <c r="E55" s="10">
        <v>19.03</v>
      </c>
      <c r="F55" s="10">
        <v>19.03</v>
      </c>
      <c r="G55">
        <v>4046800</v>
      </c>
      <c r="H55" s="10">
        <f>IF(tbl_VIXY[[#This Row],[Date]]=$A$5, $F55, EMA_Beta*$H54 + (1-EMA_Beta)*$F55)</f>
        <v>26.363277714996393</v>
      </c>
      <c r="I55" s="46">
        <f ca="1">IF(tbl_VIXY[[#This Row],[RS]]= "", "", 100-(100/(1+tbl_VIXY[[#This Row],[RS]])))</f>
        <v>49.829957119621469</v>
      </c>
      <c r="J55" s="10">
        <f ca="1">IF(ROW($N55)-4&lt;BB_Periods, "", AVERAGE(INDIRECT(ADDRESS(ROW($F55)-RSI_Periods +1, MATCH("Adj Close", Price_Header,0))): INDIRECT(ADDRESS(ROW($F55),MATCH("Adj Close", Price_Header,0)))))</f>
        <v>33.490714285714297</v>
      </c>
      <c r="K55" s="10">
        <f ca="1">IF(tbl_VIXY[[#This Row],[BB_Mean]]="", "", tbl_VIXY[[#This Row],[BB_Mean]]+(BB_Width*tbl_VIXY[[#This Row],[BB_Stdev]]))</f>
        <v>141.29427051770384</v>
      </c>
      <c r="L55" s="10">
        <f ca="1">IF(tbl_VIXY[[#This Row],[BB_Mean]]="", "", tbl_VIXY[[#This Row],[BB_Mean]]-(BB_Width*tbl_VIXY[[#This Row],[BB_Stdev]]))</f>
        <v>-74.312841946275256</v>
      </c>
      <c r="M55" s="46">
        <f>IF(ROW(tbl_VIXY[[#This Row],[Adj Close]])=5, 0, $F55-$F54)</f>
        <v>-9.9999999999980105E-3</v>
      </c>
      <c r="N55" s="46">
        <f>MAX(tbl_VIXY[[#This Row],[Move]],0)</f>
        <v>0</v>
      </c>
      <c r="O55" s="46">
        <f>MAX(-tbl_VIXY[[#This Row],[Move]],0)</f>
        <v>9.9999999999980105E-3</v>
      </c>
      <c r="P55" s="46">
        <f ca="1">IF(ROW($N55)-5&lt;RSI_Periods, "", AVERAGE(INDIRECT(ADDRESS(ROW($N55)-RSI_Periods +1, MATCH("Upmove", Price_Header,0))): INDIRECT(ADDRESS(ROW($N55),MATCH("Upmove", Price_Header,0)))))</f>
        <v>14.442857142857141</v>
      </c>
      <c r="Q55" s="46">
        <f ca="1">IF(ROW($O55)-5&lt;RSI_Periods, "", AVERAGE(INDIRECT(ADDRESS(ROW($O55)-RSI_Periods +1, MATCH("Downmove", Price_Header,0))): INDIRECT(ADDRESS(ROW($O55),MATCH("Downmove", Price_Header,0)))))</f>
        <v>14.54142857142857</v>
      </c>
      <c r="R55" s="46">
        <f ca="1">IF(tbl_VIXY[[#This Row],[Avg_Upmove]]="", "", tbl_VIXY[[#This Row],[Avg_Upmove]]/tbl_VIXY[[#This Row],[Avg_Downmove]])</f>
        <v>0.99322133804892421</v>
      </c>
      <c r="S55" s="10">
        <f ca="1">IF(ROW($N55)-4&lt;BB_Periods, "", _xlfn.STDEV.S(INDIRECT(ADDRESS(ROW($F55)-RSI_Periods +1, MATCH("Adj Close", Price_Header,0))): INDIRECT(ADDRESS(ROW($F55),MATCH("Adj Close", Price_Header,0)))))</f>
        <v>53.901778115994773</v>
      </c>
    </row>
    <row r="56" spans="1:19" x14ac:dyDescent="0.35">
      <c r="A56" s="8">
        <v>44125</v>
      </c>
      <c r="B56" s="10">
        <v>18.93</v>
      </c>
      <c r="C56" s="10">
        <v>19.170000000000002</v>
      </c>
      <c r="D56" s="10">
        <v>18.47</v>
      </c>
      <c r="E56" s="10">
        <v>18.57</v>
      </c>
      <c r="F56" s="10">
        <v>18.57</v>
      </c>
      <c r="G56">
        <v>3879800</v>
      </c>
      <c r="H56" s="10">
        <f>IF(tbl_VIXY[[#This Row],[Date]]=$A$5, $F56, EMA_Beta*$H55 + (1-EMA_Beta)*$F56)</f>
        <v>25.583949943496755</v>
      </c>
      <c r="I56" s="46">
        <f ca="1">IF(tbl_VIXY[[#This Row],[RS]]= "", "", 100-(100/(1+tbl_VIXY[[#This Row],[RS]])))</f>
        <v>49.761166100359482</v>
      </c>
      <c r="J56" s="10">
        <f ca="1">IF(ROW($N56)-4&lt;BB_Periods, "", AVERAGE(INDIRECT(ADDRESS(ROW($F56)-RSI_Periods +1, MATCH("Adj Close", Price_Header,0))): INDIRECT(ADDRESS(ROW($F56),MATCH("Adj Close", Price_Header,0)))))</f>
        <v>33.352142857142859</v>
      </c>
      <c r="K56" s="10">
        <f ca="1">IF(tbl_VIXY[[#This Row],[BB_Mean]]="", "", tbl_VIXY[[#This Row],[BB_Mean]]+(BB_Width*tbl_VIXY[[#This Row],[BB_Stdev]]))</f>
        <v>141.23253508100171</v>
      </c>
      <c r="L56" s="10">
        <f ca="1">IF(tbl_VIXY[[#This Row],[BB_Mean]]="", "", tbl_VIXY[[#This Row],[BB_Mean]]-(BB_Width*tbl_VIXY[[#This Row],[BB_Stdev]]))</f>
        <v>-74.528249366715983</v>
      </c>
      <c r="M56" s="46">
        <f>IF(ROW(tbl_VIXY[[#This Row],[Adj Close]])=5, 0, $F56-$F55)</f>
        <v>-0.46000000000000085</v>
      </c>
      <c r="N56" s="46">
        <f>MAX(tbl_VIXY[[#This Row],[Move]],0)</f>
        <v>0</v>
      </c>
      <c r="O56" s="46">
        <f>MAX(-tbl_VIXY[[#This Row],[Move]],0)</f>
        <v>0.46000000000000085</v>
      </c>
      <c r="P56" s="46">
        <f ca="1">IF(ROW($N56)-5&lt;RSI_Periods, "", AVERAGE(INDIRECT(ADDRESS(ROW($N56)-RSI_Periods +1, MATCH("Upmove", Price_Header,0))): INDIRECT(ADDRESS(ROW($N56),MATCH("Upmove", Price_Header,0)))))</f>
        <v>14.435714285714283</v>
      </c>
      <c r="Q56" s="46">
        <f ca="1">IF(ROW($O56)-5&lt;RSI_Periods, "", AVERAGE(INDIRECT(ADDRESS(ROW($O56)-RSI_Periods +1, MATCH("Downmove", Price_Header,0))): INDIRECT(ADDRESS(ROW($O56),MATCH("Downmove", Price_Header,0)))))</f>
        <v>14.574285714285713</v>
      </c>
      <c r="R56" s="46">
        <f ca="1">IF(tbl_VIXY[[#This Row],[Avg_Upmove]]="", "", tbl_VIXY[[#This Row],[Avg_Upmove]]/tbl_VIXY[[#This Row],[Avg_Downmove]])</f>
        <v>0.99049206038031756</v>
      </c>
      <c r="S56" s="10">
        <f ca="1">IF(ROW($N56)-4&lt;BB_Periods, "", _xlfn.STDEV.S(INDIRECT(ADDRESS(ROW($F56)-RSI_Periods +1, MATCH("Adj Close", Price_Header,0))): INDIRECT(ADDRESS(ROW($F56),MATCH("Adj Close", Price_Header,0)))))</f>
        <v>53.940196111929424</v>
      </c>
    </row>
    <row r="57" spans="1:19" x14ac:dyDescent="0.35">
      <c r="A57" s="8">
        <v>44126</v>
      </c>
      <c r="B57" s="10">
        <v>18.55</v>
      </c>
      <c r="C57" s="10">
        <v>18.72</v>
      </c>
      <c r="D57" s="10">
        <v>17.98</v>
      </c>
      <c r="E57" s="10">
        <v>18.149999999999999</v>
      </c>
      <c r="F57" s="10">
        <v>18.149999999999999</v>
      </c>
      <c r="G57">
        <v>3551600</v>
      </c>
      <c r="H57" s="10">
        <f>IF(tbl_VIXY[[#This Row],[Date]]=$A$5, $F57, EMA_Beta*$H56 + (1-EMA_Beta)*$F57)</f>
        <v>24.840554949147077</v>
      </c>
      <c r="I57" s="46">
        <f ca="1">IF(tbl_VIXY[[#This Row],[RS]]= "", "", 100-(100/(1+tbl_VIXY[[#This Row],[RS]])))</f>
        <v>49.637913197694466</v>
      </c>
      <c r="J57" s="10">
        <f ca="1">IF(ROW($N57)-4&lt;BB_Periods, "", AVERAGE(INDIRECT(ADDRESS(ROW($F57)-RSI_Periods +1, MATCH("Adj Close", Price_Header,0))): INDIRECT(ADDRESS(ROW($F57),MATCH("Adj Close", Price_Header,0)))))</f>
        <v>33.142142857142865</v>
      </c>
      <c r="K57" s="10">
        <f ca="1">IF(tbl_VIXY[[#This Row],[BB_Mean]]="", "", tbl_VIXY[[#This Row],[BB_Mean]]+(BB_Width*tbl_VIXY[[#This Row],[BB_Stdev]]))</f>
        <v>141.13674305792821</v>
      </c>
      <c r="L57" s="10">
        <f ca="1">IF(tbl_VIXY[[#This Row],[BB_Mean]]="", "", tbl_VIXY[[#This Row],[BB_Mean]]-(BB_Width*tbl_VIXY[[#This Row],[BB_Stdev]]))</f>
        <v>-74.852457343642499</v>
      </c>
      <c r="M57" s="46">
        <f>IF(ROW(tbl_VIXY[[#This Row],[Adj Close]])=5, 0, $F57-$F56)</f>
        <v>-0.42000000000000171</v>
      </c>
      <c r="N57" s="46">
        <f>MAX(tbl_VIXY[[#This Row],[Move]],0)</f>
        <v>0</v>
      </c>
      <c r="O57" s="46">
        <f>MAX(-tbl_VIXY[[#This Row],[Move]],0)</f>
        <v>0.42000000000000171</v>
      </c>
      <c r="P57" s="46">
        <f ca="1">IF(ROW($N57)-5&lt;RSI_Periods, "", AVERAGE(INDIRECT(ADDRESS(ROW($N57)-RSI_Periods +1, MATCH("Upmove", Price_Header,0))): INDIRECT(ADDRESS(ROW($N57),MATCH("Upmove", Price_Header,0)))))</f>
        <v>14.394285714285713</v>
      </c>
      <c r="Q57" s="46">
        <f ca="1">IF(ROW($O57)-5&lt;RSI_Periods, "", AVERAGE(INDIRECT(ADDRESS(ROW($O57)-RSI_Periods +1, MATCH("Downmove", Price_Header,0))): INDIRECT(ADDRESS(ROW($O57),MATCH("Downmove", Price_Header,0)))))</f>
        <v>14.604285714285712</v>
      </c>
      <c r="R57" s="46">
        <f ca="1">IF(tbl_VIXY[[#This Row],[Avg_Upmove]]="", "", tbl_VIXY[[#This Row],[Avg_Upmove]]/tbl_VIXY[[#This Row],[Avg_Downmove]])</f>
        <v>0.98562065929766218</v>
      </c>
      <c r="S57" s="10">
        <f ca="1">IF(ROW($N57)-4&lt;BB_Periods, "", _xlfn.STDEV.S(INDIRECT(ADDRESS(ROW($F57)-RSI_Periods +1, MATCH("Adj Close", Price_Header,0))): INDIRECT(ADDRESS(ROW($F57),MATCH("Adj Close", Price_Header,0)))))</f>
        <v>53.997300100392678</v>
      </c>
    </row>
    <row r="58" spans="1:19" x14ac:dyDescent="0.35">
      <c r="A58" s="8">
        <v>44127</v>
      </c>
      <c r="B58" s="10">
        <v>18.12</v>
      </c>
      <c r="C58" s="10">
        <v>18.57</v>
      </c>
      <c r="D58" s="10">
        <v>18.05</v>
      </c>
      <c r="E58" s="10">
        <v>18.170000000000002</v>
      </c>
      <c r="F58" s="10">
        <v>18.170000000000002</v>
      </c>
      <c r="G58">
        <v>2732600</v>
      </c>
      <c r="H58" s="10">
        <f>IF(tbl_VIXY[[#This Row],[Date]]=$A$5, $F58, EMA_Beta*$H57 + (1-EMA_Beta)*$F58)</f>
        <v>24.17349945423237</v>
      </c>
      <c r="I58" s="46">
        <f ca="1">IF(tbl_VIXY[[#This Row],[RS]]= "", "", 100-(100/(1+tbl_VIXY[[#This Row],[RS]])))</f>
        <v>49.716315555774827</v>
      </c>
      <c r="J58" s="10">
        <f ca="1">IF(ROW($N58)-4&lt;BB_Periods, "", AVERAGE(INDIRECT(ADDRESS(ROW($F58)-RSI_Periods +1, MATCH("Adj Close", Price_Header,0))): INDIRECT(ADDRESS(ROW($F58),MATCH("Adj Close", Price_Header,0)))))</f>
        <v>32.977857142857147</v>
      </c>
      <c r="K58" s="10">
        <f ca="1">IF(tbl_VIXY[[#This Row],[BB_Mean]]="", "", tbl_VIXY[[#This Row],[BB_Mean]]+(BB_Width*tbl_VIXY[[#This Row],[BB_Stdev]]))</f>
        <v>141.06245853057959</v>
      </c>
      <c r="L58" s="10">
        <f ca="1">IF(tbl_VIXY[[#This Row],[BB_Mean]]="", "", tbl_VIXY[[#This Row],[BB_Mean]]-(BB_Width*tbl_VIXY[[#This Row],[BB_Stdev]]))</f>
        <v>-75.106744244865311</v>
      </c>
      <c r="M58" s="46">
        <f>IF(ROW(tbl_VIXY[[#This Row],[Adj Close]])=5, 0, $F58-$F57)</f>
        <v>2.0000000000003126E-2</v>
      </c>
      <c r="N58" s="46">
        <f>MAX(tbl_VIXY[[#This Row],[Move]],0)</f>
        <v>2.0000000000003126E-2</v>
      </c>
      <c r="O58" s="46">
        <f>MAX(-tbl_VIXY[[#This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14.395714285714286</v>
      </c>
      <c r="Q58" s="46">
        <f ca="1">IF(ROW($O58)-5&lt;RSI_Periods, "", AVERAGE(INDIRECT(ADDRESS(ROW($O58)-RSI_Periods +1, MATCH("Downmove", Price_Header,0))): INDIRECT(ADDRESS(ROW($O58),MATCH("Downmove", Price_Header,0)))))</f>
        <v>14.559999999999999</v>
      </c>
      <c r="R58" s="46">
        <f ca="1">IF(tbl_VIXY[[#This Row],[Avg_Upmove]]="", "", tbl_VIXY[[#This Row],[Avg_Upmove]]/tbl_VIXY[[#This Row],[Avg_Downmove]])</f>
        <v>0.98871664050235486</v>
      </c>
      <c r="S58" s="10">
        <f ca="1">IF(ROW($N58)-4&lt;BB_Periods, "", _xlfn.STDEV.S(INDIRECT(ADDRESS(ROW($F58)-RSI_Periods +1, MATCH("Adj Close", Price_Header,0))): INDIRECT(ADDRESS(ROW($F58),MATCH("Adj Close", Price_Header,0)))))</f>
        <v>54.042300693861229</v>
      </c>
    </row>
    <row r="59" spans="1:19" x14ac:dyDescent="0.35">
      <c r="A59" s="8">
        <v>44130</v>
      </c>
      <c r="B59" s="10">
        <v>18.62</v>
      </c>
      <c r="C59" s="10">
        <v>20.12</v>
      </c>
      <c r="D59" s="10">
        <v>18.420000000000002</v>
      </c>
      <c r="E59" s="10">
        <v>19.760000000000002</v>
      </c>
      <c r="F59" s="10">
        <v>19.760000000000002</v>
      </c>
      <c r="G59">
        <v>8791400</v>
      </c>
      <c r="H59" s="10">
        <f>IF(tbl_VIXY[[#This Row],[Date]]=$A$5, $F59, EMA_Beta*$H58 + (1-EMA_Beta)*$F59)</f>
        <v>23.732149508809133</v>
      </c>
      <c r="I59" s="46">
        <f ca="1">IF(tbl_VIXY[[#This Row],[RS]]= "", "", 100-(100/(1+tbl_VIXY[[#This Row],[RS]])))</f>
        <v>1.3884185573992625</v>
      </c>
      <c r="J59" s="10">
        <f ca="1">IF(ROW($N59)-4&lt;BB_Periods, "", AVERAGE(INDIRECT(ADDRESS(ROW($F59)-RSI_Periods +1, MATCH("Adj Close", Price_Header,0))): INDIRECT(ADDRESS(ROW($F59),MATCH("Adj Close", Price_Header,0)))))</f>
        <v>18.622857142857139</v>
      </c>
      <c r="K59" s="10">
        <f ca="1">IF(tbl_VIXY[[#This Row],[BB_Mean]]="", "", tbl_VIXY[[#This Row],[BB_Mean]]+(BB_Width*tbl_VIXY[[#This Row],[BB_Stdev]]))</f>
        <v>20.018860858334421</v>
      </c>
      <c r="L59" s="10">
        <f ca="1">IF(tbl_VIXY[[#This Row],[BB_Mean]]="", "", tbl_VIXY[[#This Row],[BB_Mean]]-(BB_Width*tbl_VIXY[[#This Row],[BB_Stdev]]))</f>
        <v>17.226853427379858</v>
      </c>
      <c r="M59" s="46">
        <f>IF(ROW(tbl_VIXY[[#This Row],[Adj Close]])=5, 0, $F59-$F58)</f>
        <v>1.5899999999999999</v>
      </c>
      <c r="N59" s="46">
        <f>MAX(tbl_VIXY[[#This Row],[Move]],0)</f>
        <v>1.5899999999999999</v>
      </c>
      <c r="O59" s="46">
        <f>MAX(-tbl_VIXY[[#This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0.20500000000000032</v>
      </c>
      <c r="Q59" s="46">
        <f ca="1">IF(ROW($O59)-5&lt;RSI_Periods, "", AVERAGE(INDIRECT(ADDRESS(ROW($O59)-RSI_Periods +1, MATCH("Downmove", Price_Header,0))): INDIRECT(ADDRESS(ROW($O59),MATCH("Downmove", Price_Header,0)))))</f>
        <v>14.559999999999999</v>
      </c>
      <c r="R59" s="46">
        <f ca="1">IF(tbl_VIXY[[#This Row],[Avg_Upmove]]="", "", tbl_VIXY[[#This Row],[Avg_Upmove]]/tbl_VIXY[[#This Row],[Avg_Downmove]])</f>
        <v>1.4079670329670353E-2</v>
      </c>
      <c r="S59" s="10">
        <f ca="1">IF(ROW($N59)-4&lt;BB_Periods, "", _xlfn.STDEV.S(INDIRECT(ADDRESS(ROW($F59)-RSI_Periods +1, MATCH("Adj Close", Price_Header,0))): INDIRECT(ADDRESS(ROW($F59),MATCH("Adj Close", Price_Header,0)))))</f>
        <v>0.69800185773864054</v>
      </c>
    </row>
    <row r="60" spans="1:19" x14ac:dyDescent="0.35">
      <c r="A60" s="8">
        <v>44131</v>
      </c>
      <c r="B60" s="10">
        <v>19.8</v>
      </c>
      <c r="C60" s="10">
        <v>20.22</v>
      </c>
      <c r="D60" s="10">
        <v>19.45</v>
      </c>
      <c r="E60" s="10">
        <v>19.850000000000001</v>
      </c>
      <c r="F60" s="10">
        <v>19.850000000000001</v>
      </c>
      <c r="G60">
        <v>5510600</v>
      </c>
      <c r="H60" s="10">
        <f>IF(tbl_VIXY[[#This Row],[Date]]=$A$5, $F60, EMA_Beta*$H59 + (1-EMA_Beta)*$F60)</f>
        <v>23.343934557928218</v>
      </c>
      <c r="I60" s="46">
        <f ca="1">IF(tbl_VIXY[[#This Row],[RS]]= "", "", 100-(100/(1+tbl_VIXY[[#This Row],[RS]])))</f>
        <v>48.130081300813032</v>
      </c>
      <c r="J60" s="10">
        <f ca="1">IF(ROW($N60)-4&lt;BB_Periods, "", AVERAGE(INDIRECT(ADDRESS(ROW($F60)-RSI_Periods +1, MATCH("Adj Close", Price_Header,0))): INDIRECT(ADDRESS(ROW($F60),MATCH("Adj Close", Price_Header,0)))))</f>
        <v>18.606428571428573</v>
      </c>
      <c r="K60" s="10">
        <f ca="1">IF(tbl_VIXY[[#This Row],[BB_Mean]]="", "", tbl_VIXY[[#This Row],[BB_Mean]]+(BB_Width*tbl_VIXY[[#This Row],[BB_Stdev]]))</f>
        <v>19.93221094463275</v>
      </c>
      <c r="L60" s="10">
        <f ca="1">IF(tbl_VIXY[[#This Row],[BB_Mean]]="", "", tbl_VIXY[[#This Row],[BB_Mean]]-(BB_Width*tbl_VIXY[[#This Row],[BB_Stdev]]))</f>
        <v>17.280646198224396</v>
      </c>
      <c r="M60" s="46">
        <f>IF(ROW(tbl_VIXY[[#This Row],[Adj Close]])=5, 0, $F60-$F59)</f>
        <v>8.9999999999999858E-2</v>
      </c>
      <c r="N60" s="46">
        <f>MAX(tbl_VIXY[[#This Row],[Move]],0)</f>
        <v>8.9999999999999858E-2</v>
      </c>
      <c r="O60" s="46">
        <f>MAX(-tbl_VIXY[[#This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0.21142857142857174</v>
      </c>
      <c r="Q60" s="46">
        <f ca="1">IF(ROW($O60)-5&lt;RSI_Periods, "", AVERAGE(INDIRECT(ADDRESS(ROW($O60)-RSI_Periods +1, MATCH("Downmove", Price_Header,0))): INDIRECT(ADDRESS(ROW($O60),MATCH("Downmove", Price_Header,0)))))</f>
        <v>0.22785714285714295</v>
      </c>
      <c r="R60" s="46">
        <f ca="1">IF(tbl_VIXY[[#This Row],[Avg_Upmove]]="", "", tbl_VIXY[[#This Row],[Avg_Upmove]]/tbl_VIXY[[#This Row],[Avg_Downmove]])</f>
        <v>0.92789968652037713</v>
      </c>
      <c r="S60" s="10">
        <f ca="1">IF(ROW($N60)-4&lt;BB_Periods, "", _xlfn.STDEV.S(INDIRECT(ADDRESS(ROW($F60)-RSI_Periods +1, MATCH("Adj Close", Price_Header,0))): INDIRECT(ADDRESS(ROW($F60),MATCH("Adj Close", Price_Header,0)))))</f>
        <v>0.66289118660208912</v>
      </c>
    </row>
    <row r="61" spans="1:19" x14ac:dyDescent="0.35">
      <c r="A61" s="8">
        <v>44132</v>
      </c>
      <c r="B61" s="10">
        <v>21.39</v>
      </c>
      <c r="C61" s="10">
        <v>22.74</v>
      </c>
      <c r="D61" s="10">
        <v>20.43</v>
      </c>
      <c r="E61" s="10">
        <v>20.8</v>
      </c>
      <c r="F61" s="10">
        <v>20.8</v>
      </c>
      <c r="G61">
        <v>12439700</v>
      </c>
      <c r="H61" s="10">
        <f>IF(tbl_VIXY[[#This Row],[Date]]=$A$5, $F61, EMA_Beta*$H60 + (1-EMA_Beta)*$F61)</f>
        <v>23.089541102135396</v>
      </c>
      <c r="I61" s="46">
        <f ca="1">IF(tbl_VIXY[[#This Row],[RS]]= "", "", 100-(100/(1+tbl_VIXY[[#This Row],[RS]])))</f>
        <v>61.965134706814574</v>
      </c>
      <c r="J61" s="10">
        <f ca="1">IF(ROW($N61)-4&lt;BB_Periods, "", AVERAGE(INDIRECT(ADDRESS(ROW($F61)-RSI_Periods +1, MATCH("Adj Close", Price_Header,0))): INDIRECT(ADDRESS(ROW($F61),MATCH("Adj Close", Price_Header,0)))))</f>
        <v>18.714285714285715</v>
      </c>
      <c r="K61" s="10">
        <f ca="1">IF(tbl_VIXY[[#This Row],[BB_Mean]]="", "", tbl_VIXY[[#This Row],[BB_Mean]]+(BB_Width*tbl_VIXY[[#This Row],[BB_Stdev]]))</f>
        <v>20.459092766183332</v>
      </c>
      <c r="L61" s="10">
        <f ca="1">IF(tbl_VIXY[[#This Row],[BB_Mean]]="", "", tbl_VIXY[[#This Row],[BB_Mean]]-(BB_Width*tbl_VIXY[[#This Row],[BB_Stdev]]))</f>
        <v>16.969478662388099</v>
      </c>
      <c r="M61" s="46">
        <f>IF(ROW(tbl_VIXY[[#This Row],[Adj Close]])=5, 0, $F61-$F60)</f>
        <v>0.94999999999999929</v>
      </c>
      <c r="N61" s="46">
        <f>MAX(tbl_VIXY[[#This Row],[Move]],0)</f>
        <v>0.94999999999999929</v>
      </c>
      <c r="O61" s="46">
        <f>MAX(-tbl_VIXY[[#This Row],[Move]],0)</f>
        <v>0</v>
      </c>
      <c r="P61" s="46">
        <f ca="1">IF(ROW($N61)-5&lt;RSI_Periods, "", AVERAGE(INDIRECT(ADDRESS(ROW($N61)-RSI_Periods +1, MATCH("Upmove", Price_Header,0))): INDIRECT(ADDRESS(ROW($N61),MATCH("Upmove", Price_Header,0)))))</f>
        <v>0.27928571428571453</v>
      </c>
      <c r="Q61" s="46">
        <f ca="1">IF(ROW($O61)-5&lt;RSI_Periods, "", AVERAGE(INDIRECT(ADDRESS(ROW($O61)-RSI_Periods +1, MATCH("Downmove", Price_Header,0))): INDIRECT(ADDRESS(ROW($O61),MATCH("Downmove", Price_Header,0)))))</f>
        <v>0.17142857142857157</v>
      </c>
      <c r="R61" s="46">
        <f ca="1">IF(tbl_VIXY[[#This Row],[Avg_Upmove]]="", "", tbl_VIXY[[#This Row],[Avg_Upmove]]/tbl_VIXY[[#This Row],[Avg_Downmove]])</f>
        <v>1.6291666666666667</v>
      </c>
      <c r="S61" s="10">
        <f ca="1">IF(ROW($N61)-4&lt;BB_Periods, "", _xlfn.STDEV.S(INDIRECT(ADDRESS(ROW($F61)-RSI_Periods +1, MATCH("Adj Close", Price_Header,0))): INDIRECT(ADDRESS(ROW($F61),MATCH("Adj Close", Price_Header,0)))))</f>
        <v>0.87240352594880821</v>
      </c>
    </row>
    <row r="62" spans="1:19" x14ac:dyDescent="0.35">
      <c r="A62" s="8">
        <v>44133</v>
      </c>
      <c r="B62" s="10">
        <v>22.27</v>
      </c>
      <c r="C62" s="10">
        <v>22.7</v>
      </c>
      <c r="D62" s="10">
        <v>20.43</v>
      </c>
      <c r="E62" s="10">
        <v>20.8</v>
      </c>
      <c r="F62" s="10">
        <v>20.8</v>
      </c>
      <c r="G62">
        <v>7295500</v>
      </c>
      <c r="H62" s="10">
        <f>IF(tbl_VIXY[[#This Row],[Date]]=$A$5, $F62, EMA_Beta*$H61 + (1-EMA_Beta)*$F62)</f>
        <v>22.860586991921856</v>
      </c>
      <c r="I62" s="46">
        <f ca="1">IF(tbl_VIXY[[#This Row],[RS]]= "", "", 100-(100/(1+tbl_VIXY[[#This Row],[RS]])))</f>
        <v>73.913043478260846</v>
      </c>
      <c r="J62" s="10">
        <f ca="1">IF(ROW($N62)-4&lt;BB_Periods, "", AVERAGE(INDIRECT(ADDRESS(ROW($F62)-RSI_Periods +1, MATCH("Adj Close", Price_Header,0))): INDIRECT(ADDRESS(ROW($F62),MATCH("Adj Close", Price_Header,0)))))</f>
        <v>18.895</v>
      </c>
      <c r="K62" s="10">
        <f ca="1">IF(tbl_VIXY[[#This Row],[BB_Mean]]="", "", tbl_VIXY[[#This Row],[BB_Mean]]+(BB_Width*tbl_VIXY[[#This Row],[BB_Stdev]]))</f>
        <v>20.939862229701927</v>
      </c>
      <c r="L62" s="10">
        <f ca="1">IF(tbl_VIXY[[#This Row],[BB_Mean]]="", "", tbl_VIXY[[#This Row],[BB_Mean]]-(BB_Width*tbl_VIXY[[#This Row],[BB_Stdev]]))</f>
        <v>16.850137770298073</v>
      </c>
      <c r="M62" s="46">
        <f>IF(ROW(tbl_VIXY[[#This Row],[Adj Close]])=5, 0, $F62-$F61)</f>
        <v>0</v>
      </c>
      <c r="N62" s="46">
        <f>MAX(tbl_VIXY[[#This Row],[Move]],0)</f>
        <v>0</v>
      </c>
      <c r="O62" s="46">
        <f>MAX(-tbl_VIXY[[#This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0.27928571428571453</v>
      </c>
      <c r="Q62" s="46">
        <f ca="1">IF(ROW($O62)-5&lt;RSI_Periods, "", AVERAGE(INDIRECT(ADDRESS(ROW($O62)-RSI_Periods +1, MATCH("Downmove", Price_Header,0))): INDIRECT(ADDRESS(ROW($O62),MATCH("Downmove", Price_Header,0)))))</f>
        <v>9.8571428571428754E-2</v>
      </c>
      <c r="R62" s="46">
        <f ca="1">IF(tbl_VIXY[[#This Row],[Avg_Upmove]]="", "", tbl_VIXY[[#This Row],[Avg_Upmove]]/tbl_VIXY[[#This Row],[Avg_Downmove]])</f>
        <v>2.8333333333333304</v>
      </c>
      <c r="S62" s="10">
        <f ca="1">IF(ROW($N62)-4&lt;BB_Periods, "", _xlfn.STDEV.S(INDIRECT(ADDRESS(ROW($F62)-RSI_Periods +1, MATCH("Adj Close", Price_Header,0))): INDIRECT(ADDRESS(ROW($F62),MATCH("Adj Close", Price_Header,0)))))</f>
        <v>1.0224311148509642</v>
      </c>
    </row>
    <row r="63" spans="1:19" x14ac:dyDescent="0.35">
      <c r="A63" s="8">
        <v>44134</v>
      </c>
      <c r="B63" s="10">
        <v>21.43</v>
      </c>
      <c r="C63" s="10">
        <v>22.14</v>
      </c>
      <c r="D63" s="10">
        <v>21.13</v>
      </c>
      <c r="E63" s="10">
        <v>21.73</v>
      </c>
      <c r="F63" s="10">
        <v>21.73</v>
      </c>
      <c r="G63">
        <v>7825500</v>
      </c>
      <c r="H63" s="10">
        <f>IF(tbl_VIXY[[#This Row],[Date]]=$A$5, $F63, EMA_Beta*$H62 + (1-EMA_Beta)*$F63)</f>
        <v>22.747528292729669</v>
      </c>
      <c r="I63" s="46">
        <f ca="1">IF(tbl_VIXY[[#This Row],[RS]]= "", "", 100-(100/(1+tbl_VIXY[[#This Row],[RS]])))</f>
        <v>82.312925170067999</v>
      </c>
      <c r="J63" s="10">
        <f ca="1">IF(ROW($N63)-4&lt;BB_Periods, "", AVERAGE(INDIRECT(ADDRESS(ROW($F63)-RSI_Periods +1, MATCH("Adj Close", Price_Header,0))): INDIRECT(ADDRESS(ROW($F63),MATCH("Adj Close", Price_Header,0)))))</f>
        <v>19.166428571428572</v>
      </c>
      <c r="K63" s="10">
        <f ca="1">IF(tbl_VIXY[[#This Row],[BB_Mean]]="", "", tbl_VIXY[[#This Row],[BB_Mean]]+(BB_Width*tbl_VIXY[[#This Row],[BB_Stdev]]))</f>
        <v>21.62621726958141</v>
      </c>
      <c r="L63" s="10">
        <f ca="1">IF(tbl_VIXY[[#This Row],[BB_Mean]]="", "", tbl_VIXY[[#This Row],[BB_Mean]]-(BB_Width*tbl_VIXY[[#This Row],[BB_Stdev]]))</f>
        <v>16.706639873275734</v>
      </c>
      <c r="M63" s="46">
        <f>IF(ROW(tbl_VIXY[[#This Row],[Adj Close]])=5, 0, $F63-$F62)</f>
        <v>0.92999999999999972</v>
      </c>
      <c r="N63" s="46">
        <f>MAX(tbl_VIXY[[#This Row],[Move]],0)</f>
        <v>0.92999999999999972</v>
      </c>
      <c r="O63" s="46">
        <f>MAX(-tbl_VIXY[[#This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0.34571428571428597</v>
      </c>
      <c r="Q63" s="46">
        <f ca="1">IF(ROW($O63)-5&lt;RSI_Periods, "", AVERAGE(INDIRECT(ADDRESS(ROW($O63)-RSI_Periods +1, MATCH("Downmove", Price_Header,0))): INDIRECT(ADDRESS(ROW($O63),MATCH("Downmove", Price_Header,0)))))</f>
        <v>7.4285714285714483E-2</v>
      </c>
      <c r="R63" s="46">
        <f ca="1">IF(tbl_VIXY[[#This Row],[Avg_Upmove]]="", "", tbl_VIXY[[#This Row],[Avg_Upmove]]/tbl_VIXY[[#This Row],[Avg_Downmove]])</f>
        <v>4.6538461538461453</v>
      </c>
      <c r="S63" s="10">
        <f ca="1">IF(ROW($N63)-4&lt;BB_Periods, "", _xlfn.STDEV.S(INDIRECT(ADDRESS(ROW($F63)-RSI_Periods +1, MATCH("Adj Close", Price_Header,0))): INDIRECT(ADDRESS(ROW($F63),MATCH("Adj Close", Price_Header,0)))))</f>
        <v>1.22989434907642</v>
      </c>
    </row>
    <row r="64" spans="1:19" x14ac:dyDescent="0.35">
      <c r="A64" s="8">
        <v>44137</v>
      </c>
      <c r="B64" s="10">
        <v>20.74</v>
      </c>
      <c r="C64" s="10">
        <v>21.55</v>
      </c>
      <c r="D64" s="10">
        <v>20.69</v>
      </c>
      <c r="E64" s="10">
        <v>21.26</v>
      </c>
      <c r="F64" s="10">
        <v>21.26</v>
      </c>
      <c r="G64">
        <v>5913600</v>
      </c>
      <c r="H64" s="10">
        <f>IF(tbl_VIXY[[#This Row],[Date]]=$A$5, $F64, EMA_Beta*$H63 + (1-EMA_Beta)*$F64)</f>
        <v>22.598775463456704</v>
      </c>
      <c r="I64" s="46">
        <f ca="1">IF(tbl_VIXY[[#This Row],[RS]]= "", "", 100-(100/(1+tbl_VIXY[[#This Row],[RS]])))</f>
        <v>75.487012987012974</v>
      </c>
      <c r="J64" s="10">
        <f ca="1">IF(ROW($N64)-4&lt;BB_Periods, "", AVERAGE(INDIRECT(ADDRESS(ROW($F64)-RSI_Periods +1, MATCH("Adj Close", Price_Header,0))): INDIRECT(ADDRESS(ROW($F64),MATCH("Adj Close", Price_Header,0)))))</f>
        <v>19.390714285714285</v>
      </c>
      <c r="K64" s="10">
        <f ca="1">IF(tbl_VIXY[[#This Row],[BB_Mean]]="", "", tbl_VIXY[[#This Row],[BB_Mean]]+(BB_Width*tbl_VIXY[[#This Row],[BB_Stdev]]))</f>
        <v>22.007117739497176</v>
      </c>
      <c r="L64" s="10">
        <f ca="1">IF(tbl_VIXY[[#This Row],[BB_Mean]]="", "", tbl_VIXY[[#This Row],[BB_Mean]]-(BB_Width*tbl_VIXY[[#This Row],[BB_Stdev]]))</f>
        <v>16.774310831931395</v>
      </c>
      <c r="M64" s="46">
        <f>IF(ROW(tbl_VIXY[[#This Row],[Adj Close]])=5, 0, $F64-$F63)</f>
        <v>-0.46999999999999886</v>
      </c>
      <c r="N64" s="46">
        <f>MAX(tbl_VIXY[[#This Row],[Move]],0)</f>
        <v>0</v>
      </c>
      <c r="O64" s="46">
        <f>MAX(-tbl_VIXY[[#This Row],[Move]],0)</f>
        <v>0.46999999999999886</v>
      </c>
      <c r="P64" s="46">
        <f ca="1">IF(ROW($N64)-5&lt;RSI_Periods, "", AVERAGE(INDIRECT(ADDRESS(ROW($N64)-RSI_Periods +1, MATCH("Upmove", Price_Header,0))): INDIRECT(ADDRESS(ROW($N64),MATCH("Upmove", Price_Header,0)))))</f>
        <v>0.3321428571428573</v>
      </c>
      <c r="Q64" s="46">
        <f ca="1">IF(ROW($O64)-5&lt;RSI_Periods, "", AVERAGE(INDIRECT(ADDRESS(ROW($O64)-RSI_Periods +1, MATCH("Downmove", Price_Header,0))): INDIRECT(ADDRESS(ROW($O64),MATCH("Downmove", Price_Header,0)))))</f>
        <v>0.10785714285714297</v>
      </c>
      <c r="R64" s="46">
        <f ca="1">IF(tbl_VIXY[[#This Row],[Avg_Upmove]]="", "", tbl_VIXY[[#This Row],[Avg_Upmove]]/tbl_VIXY[[#This Row],[Avg_Downmove]])</f>
        <v>3.0794701986754949</v>
      </c>
      <c r="S64" s="10">
        <f ca="1">IF(ROW($N64)-4&lt;BB_Periods, "", _xlfn.STDEV.S(INDIRECT(ADDRESS(ROW($F64)-RSI_Periods +1, MATCH("Adj Close", Price_Header,0))): INDIRECT(ADDRESS(ROW($F64),MATCH("Adj Close", Price_Header,0)))))</f>
        <v>1.3082017268914452</v>
      </c>
    </row>
    <row r="65" spans="1:19" x14ac:dyDescent="0.35">
      <c r="A65" s="8">
        <v>44138</v>
      </c>
      <c r="B65" s="10">
        <v>20.61</v>
      </c>
      <c r="C65" s="10">
        <v>20.74</v>
      </c>
      <c r="D65" s="10">
        <v>19.829999999999998</v>
      </c>
      <c r="E65" s="10">
        <v>20.14</v>
      </c>
      <c r="F65" s="10">
        <v>20.14</v>
      </c>
      <c r="G65">
        <v>5314300</v>
      </c>
      <c r="H65" s="10">
        <f>IF(tbl_VIXY[[#This Row],[Date]]=$A$5, $F65, EMA_Beta*$H64 + (1-EMA_Beta)*$F65)</f>
        <v>22.352897917111033</v>
      </c>
      <c r="I65" s="46">
        <f ca="1">IF(tbl_VIXY[[#This Row],[RS]]= "", "", 100-(100/(1+tbl_VIXY[[#This Row],[RS]])))</f>
        <v>65.217391304347828</v>
      </c>
      <c r="J65" s="10">
        <f ca="1">IF(ROW($N65)-4&lt;BB_Periods, "", AVERAGE(INDIRECT(ADDRESS(ROW($F65)-RSI_Periods +1, MATCH("Adj Close", Price_Header,0))): INDIRECT(ADDRESS(ROW($F65),MATCH("Adj Close", Price_Header,0)))))</f>
        <v>19.545714285714286</v>
      </c>
      <c r="K65" s="10">
        <f ca="1">IF(tbl_VIXY[[#This Row],[BB_Mean]]="", "", tbl_VIXY[[#This Row],[BB_Mean]]+(BB_Width*tbl_VIXY[[#This Row],[BB_Stdev]]))</f>
        <v>22.054452421304973</v>
      </c>
      <c r="L65" s="10">
        <f ca="1">IF(tbl_VIXY[[#This Row],[BB_Mean]]="", "", tbl_VIXY[[#This Row],[BB_Mean]]-(BB_Width*tbl_VIXY[[#This Row],[BB_Stdev]]))</f>
        <v>17.0369761501236</v>
      </c>
      <c r="M65" s="46">
        <f>IF(ROW(tbl_VIXY[[#This Row],[Adj Close]])=5, 0, $F65-$F64)</f>
        <v>-1.120000000000001</v>
      </c>
      <c r="N65" s="46">
        <f>MAX(tbl_VIXY[[#This Row],[Move]],0)</f>
        <v>0</v>
      </c>
      <c r="O65" s="46">
        <f>MAX(-tbl_VIXY[[#This Row],[Move]],0)</f>
        <v>1.120000000000001</v>
      </c>
      <c r="P65" s="46">
        <f ca="1">IF(ROW($N65)-5&lt;RSI_Periods, "", AVERAGE(INDIRECT(ADDRESS(ROW($N65)-RSI_Periods +1, MATCH("Upmove", Price_Header,0))): INDIRECT(ADDRESS(ROW($N65),MATCH("Upmove", Price_Header,0)))))</f>
        <v>0.3321428571428573</v>
      </c>
      <c r="Q65" s="46">
        <f ca="1">IF(ROW($O65)-5&lt;RSI_Periods, "", AVERAGE(INDIRECT(ADDRESS(ROW($O65)-RSI_Periods +1, MATCH("Downmove", Price_Header,0))): INDIRECT(ADDRESS(ROW($O65),MATCH("Downmove", Price_Header,0)))))</f>
        <v>0.17714285714285719</v>
      </c>
      <c r="R65" s="46">
        <f ca="1">IF(tbl_VIXY[[#This Row],[Avg_Upmove]]="", "", tbl_VIXY[[#This Row],[Avg_Upmove]]/tbl_VIXY[[#This Row],[Avg_Downmove]])</f>
        <v>1.8750000000000004</v>
      </c>
      <c r="S65" s="10">
        <f ca="1">IF(ROW($N65)-4&lt;BB_Periods, "", _xlfn.STDEV.S(INDIRECT(ADDRESS(ROW($F65)-RSI_Periods +1, MATCH("Adj Close", Price_Header,0))): INDIRECT(ADDRESS(ROW($F65),MATCH("Adj Close", Price_Header,0)))))</f>
        <v>1.2543690677953436</v>
      </c>
    </row>
    <row r="66" spans="1:19" x14ac:dyDescent="0.35">
      <c r="A66" s="8">
        <v>44139</v>
      </c>
      <c r="B66" s="10">
        <v>19.25</v>
      </c>
      <c r="C66" s="10">
        <v>19.3</v>
      </c>
      <c r="D66" s="10">
        <v>18.190000000000001</v>
      </c>
      <c r="E66" s="10">
        <v>18.37</v>
      </c>
      <c r="F66" s="10">
        <v>18.37</v>
      </c>
      <c r="G66">
        <v>8589500</v>
      </c>
      <c r="H66" s="10">
        <f>IF(tbl_VIXY[[#This Row],[Date]]=$A$5, $F66, EMA_Beta*$H65 + (1-EMA_Beta)*$F66)</f>
        <v>21.954608125399929</v>
      </c>
      <c r="I66" s="46">
        <f ca="1">IF(tbl_VIXY[[#This Row],[RS]]= "", "", 100-(100/(1+tbl_VIXY[[#This Row],[RS]])))</f>
        <v>51.484018264840188</v>
      </c>
      <c r="J66" s="10">
        <f ca="1">IF(ROW($N66)-4&lt;BB_Periods, "", AVERAGE(INDIRECT(ADDRESS(ROW($F66)-RSI_Periods +1, MATCH("Adj Close", Price_Header,0))): INDIRECT(ADDRESS(ROW($F66),MATCH("Adj Close", Price_Header,0)))))</f>
        <v>19.564285714285717</v>
      </c>
      <c r="K66" s="10">
        <f ca="1">IF(tbl_VIXY[[#This Row],[BB_Mean]]="", "", tbl_VIXY[[#This Row],[BB_Mean]]+(BB_Width*tbl_VIXY[[#This Row],[BB_Stdev]]))</f>
        <v>22.030733977065019</v>
      </c>
      <c r="L66" s="10">
        <f ca="1">IF(tbl_VIXY[[#This Row],[BB_Mean]]="", "", tbl_VIXY[[#This Row],[BB_Mean]]-(BB_Width*tbl_VIXY[[#This Row],[BB_Stdev]]))</f>
        <v>17.097837451506415</v>
      </c>
      <c r="M66" s="46">
        <f>IF(ROW(tbl_VIXY[[#This Row],[Adj Close]])=5, 0, $F66-$F65)</f>
        <v>-1.7699999999999996</v>
      </c>
      <c r="N66" s="46">
        <f>MAX(tbl_VIXY[[#This Row],[Move]],0)</f>
        <v>0</v>
      </c>
      <c r="O66" s="46">
        <f>MAX(-tbl_VIXY[[#This Row],[Move]],0)</f>
        <v>1.7699999999999996</v>
      </c>
      <c r="P66" s="46">
        <f ca="1">IF(ROW($N66)-5&lt;RSI_Periods, "", AVERAGE(INDIRECT(ADDRESS(ROW($N66)-RSI_Periods +1, MATCH("Upmove", Price_Header,0))): INDIRECT(ADDRESS(ROW($N66),MATCH("Upmove", Price_Header,0)))))</f>
        <v>0.32214285714285723</v>
      </c>
      <c r="Q66" s="46">
        <f ca="1">IF(ROW($O66)-5&lt;RSI_Periods, "", AVERAGE(INDIRECT(ADDRESS(ROW($O66)-RSI_Periods +1, MATCH("Downmove", Price_Header,0))): INDIRECT(ADDRESS(ROW($O66),MATCH("Downmove", Price_Header,0)))))</f>
        <v>0.30357142857142855</v>
      </c>
      <c r="R66" s="46">
        <f ca="1">IF(tbl_VIXY[[#This Row],[Avg_Upmove]]="", "", tbl_VIXY[[#This Row],[Avg_Upmove]]/tbl_VIXY[[#This Row],[Avg_Downmove]])</f>
        <v>1.0611764705882356</v>
      </c>
      <c r="S66" s="10">
        <f ca="1">IF(ROW($N66)-4&lt;BB_Periods, "", _xlfn.STDEV.S(INDIRECT(ADDRESS(ROW($F66)-RSI_Periods +1, MATCH("Adj Close", Price_Header,0))): INDIRECT(ADDRESS(ROW($F66),MATCH("Adj Close", Price_Header,0)))))</f>
        <v>1.2332241313896506</v>
      </c>
    </row>
    <row r="67" spans="1:19" x14ac:dyDescent="0.35">
      <c r="A67" s="8">
        <v>44140</v>
      </c>
      <c r="B67" s="10">
        <v>17.760000000000002</v>
      </c>
      <c r="C67" s="10">
        <v>18.23</v>
      </c>
      <c r="D67" s="10">
        <v>17.579999999999998</v>
      </c>
      <c r="E67" s="10">
        <v>18.02</v>
      </c>
      <c r="F67" s="10">
        <v>18.02</v>
      </c>
      <c r="G67">
        <v>5969600</v>
      </c>
      <c r="H67" s="10">
        <f>IF(tbl_VIXY[[#This Row],[Date]]=$A$5, $F67, EMA_Beta*$H66 + (1-EMA_Beta)*$F67)</f>
        <v>21.561147312859937</v>
      </c>
      <c r="I67" s="46">
        <f ca="1">IF(tbl_VIXY[[#This Row],[RS]]= "", "", 100-(100/(1+tbl_VIXY[[#This Row],[RS]])))</f>
        <v>48.832035595105673</v>
      </c>
      <c r="J67" s="10">
        <f ca="1">IF(ROW($N67)-4&lt;BB_Periods, "", AVERAGE(INDIRECT(ADDRESS(ROW($F67)-RSI_Periods +1, MATCH("Adj Close", Price_Header,0))): INDIRECT(ADDRESS(ROW($F67),MATCH("Adj Close", Price_Header,0)))))</f>
        <v>19.549285714285713</v>
      </c>
      <c r="K67" s="10">
        <f ca="1">IF(tbl_VIXY[[#This Row],[BB_Mean]]="", "", tbl_VIXY[[#This Row],[BB_Mean]]+(BB_Width*tbl_VIXY[[#This Row],[BB_Stdev]]))</f>
        <v>22.052962570870406</v>
      </c>
      <c r="L67" s="10">
        <f ca="1">IF(tbl_VIXY[[#This Row],[BB_Mean]]="", "", tbl_VIXY[[#This Row],[BB_Mean]]-(BB_Width*tbl_VIXY[[#This Row],[BB_Stdev]]))</f>
        <v>17.045608857701019</v>
      </c>
      <c r="M67" s="46">
        <f>IF(ROW(tbl_VIXY[[#This Row],[Adj Close]])=5, 0, $F67-$F66)</f>
        <v>-0.35000000000000142</v>
      </c>
      <c r="N67" s="46">
        <f>MAX(tbl_VIXY[[#This Row],[Move]],0)</f>
        <v>0</v>
      </c>
      <c r="O67" s="46">
        <f>MAX(-tbl_VIXY[[#This Row],[Move]],0)</f>
        <v>0.35000000000000142</v>
      </c>
      <c r="P67" s="46">
        <f ca="1">IF(ROW($N67)-5&lt;RSI_Periods, "", AVERAGE(INDIRECT(ADDRESS(ROW($N67)-RSI_Periods +1, MATCH("Upmove", Price_Header,0))): INDIRECT(ADDRESS(ROW($N67),MATCH("Upmove", Price_Header,0)))))</f>
        <v>0.31357142857142861</v>
      </c>
      <c r="Q67" s="46">
        <f ca="1">IF(ROW($O67)-5&lt;RSI_Periods, "", AVERAGE(INDIRECT(ADDRESS(ROW($O67)-RSI_Periods +1, MATCH("Downmove", Price_Header,0))): INDIRECT(ADDRESS(ROW($O67),MATCH("Downmove", Price_Header,0)))))</f>
        <v>0.32857142857142868</v>
      </c>
      <c r="R67" s="46">
        <f ca="1">IF(tbl_VIXY[[#This Row],[Avg_Upmove]]="", "", tbl_VIXY[[#This Row],[Avg_Upmove]]/tbl_VIXY[[#This Row],[Avg_Downmove]])</f>
        <v>0.95434782608695634</v>
      </c>
      <c r="S67" s="10">
        <f ca="1">IF(ROW($N67)-4&lt;BB_Periods, "", _xlfn.STDEV.S(INDIRECT(ADDRESS(ROW($F67)-RSI_Periods +1, MATCH("Adj Close", Price_Header,0))): INDIRECT(ADDRESS(ROW($F67),MATCH("Adj Close", Price_Header,0)))))</f>
        <v>1.251838428292346</v>
      </c>
    </row>
    <row r="68" spans="1:19" x14ac:dyDescent="0.35">
      <c r="A68" s="8">
        <v>44141</v>
      </c>
      <c r="B68" s="10">
        <v>17.86</v>
      </c>
      <c r="C68" s="10">
        <v>17.89</v>
      </c>
      <c r="D68" s="10">
        <v>16.82</v>
      </c>
      <c r="E68" s="10">
        <v>16.850000000000001</v>
      </c>
      <c r="F68" s="10">
        <v>16.850000000000001</v>
      </c>
      <c r="G68">
        <v>6019200</v>
      </c>
      <c r="H68" s="10">
        <f>IF(tbl_VIXY[[#This Row],[Date]]=$A$5, $F68, EMA_Beta*$H67 + (1-EMA_Beta)*$F68)</f>
        <v>21.090032581573944</v>
      </c>
      <c r="I68" s="46">
        <f ca="1">IF(tbl_VIXY[[#This Row],[RS]]= "", "", 100-(100/(1+tbl_VIXY[[#This Row],[RS]])))</f>
        <v>38.288770053475957</v>
      </c>
      <c r="J68" s="10">
        <f ca="1">IF(ROW($N68)-4&lt;BB_Periods, "", AVERAGE(INDIRECT(ADDRESS(ROW($F68)-RSI_Periods +1, MATCH("Adj Close", Price_Header,0))): INDIRECT(ADDRESS(ROW($F68),MATCH("Adj Close", Price_Header,0)))))</f>
        <v>19.392857142857142</v>
      </c>
      <c r="K68" s="10">
        <f ca="1">IF(tbl_VIXY[[#This Row],[BB_Mean]]="", "", tbl_VIXY[[#This Row],[BB_Mean]]+(BB_Width*tbl_VIXY[[#This Row],[BB_Stdev]]))</f>
        <v>22.278177320492986</v>
      </c>
      <c r="L68" s="10">
        <f ca="1">IF(tbl_VIXY[[#This Row],[BB_Mean]]="", "", tbl_VIXY[[#This Row],[BB_Mean]]-(BB_Width*tbl_VIXY[[#This Row],[BB_Stdev]]))</f>
        <v>16.507536965221298</v>
      </c>
      <c r="M68" s="46">
        <f>IF(ROW(tbl_VIXY[[#This Row],[Adj Close]])=5, 0, $F68-$F67)</f>
        <v>-1.1699999999999982</v>
      </c>
      <c r="N68" s="46">
        <f>MAX(tbl_VIXY[[#This Row],[Move]],0)</f>
        <v>0</v>
      </c>
      <c r="O68" s="46">
        <f>MAX(-tbl_VIXY[[#This Row],[Move]],0)</f>
        <v>1.1699999999999982</v>
      </c>
      <c r="P68" s="46">
        <f ca="1">IF(ROW($N68)-5&lt;RSI_Periods, "", AVERAGE(INDIRECT(ADDRESS(ROW($N68)-RSI_Periods +1, MATCH("Upmove", Price_Header,0))): INDIRECT(ADDRESS(ROW($N68),MATCH("Upmove", Price_Header,0)))))</f>
        <v>0.25571428571428584</v>
      </c>
      <c r="Q68" s="46">
        <f ca="1">IF(ROW($O68)-5&lt;RSI_Periods, "", AVERAGE(INDIRECT(ADDRESS(ROW($O68)-RSI_Periods +1, MATCH("Downmove", Price_Header,0))): INDIRECT(ADDRESS(ROW($O68),MATCH("Downmove", Price_Header,0)))))</f>
        <v>0.41214285714285709</v>
      </c>
      <c r="R68" s="46">
        <f ca="1">IF(tbl_VIXY[[#This Row],[Avg_Upmove]]="", "", tbl_VIXY[[#This Row],[Avg_Upmove]]/tbl_VIXY[[#This Row],[Avg_Downmove]])</f>
        <v>0.62045060658578899</v>
      </c>
      <c r="S68" s="10">
        <f ca="1">IF(ROW($N68)-4&lt;BB_Periods, "", _xlfn.STDEV.S(INDIRECT(ADDRESS(ROW($F68)-RSI_Periods +1, MATCH("Adj Close", Price_Header,0))): INDIRECT(ADDRESS(ROW($F68),MATCH("Adj Close", Price_Header,0)))))</f>
        <v>1.4426600888179211</v>
      </c>
    </row>
    <row r="69" spans="1:19" x14ac:dyDescent="0.35">
      <c r="A69" s="8">
        <v>44144</v>
      </c>
      <c r="B69" s="10">
        <v>15.68</v>
      </c>
      <c r="C69" s="10">
        <v>16.48</v>
      </c>
      <c r="D69" s="10">
        <v>14.94</v>
      </c>
      <c r="E69" s="10">
        <v>16.47</v>
      </c>
      <c r="F69" s="10">
        <v>16.47</v>
      </c>
      <c r="G69">
        <v>8832600</v>
      </c>
      <c r="H69" s="10">
        <f>IF(tbl_VIXY[[#This Row],[Date]]=$A$5, $F69, EMA_Beta*$H68 + (1-EMA_Beta)*$F69)</f>
        <v>20.628029323416548</v>
      </c>
      <c r="I69" s="46">
        <f ca="1">IF(tbl_VIXY[[#This Row],[RS]]= "", "", 100-(100/(1+tbl_VIXY[[#This Row],[RS]])))</f>
        <v>36.831275720164605</v>
      </c>
      <c r="J69" s="10">
        <f ca="1">IF(ROW($N69)-4&lt;BB_Periods, "", AVERAGE(INDIRECT(ADDRESS(ROW($F69)-RSI_Periods +1, MATCH("Adj Close", Price_Header,0))): INDIRECT(ADDRESS(ROW($F69),MATCH("Adj Close", Price_Header,0)))))</f>
        <v>19.209999999999997</v>
      </c>
      <c r="K69" s="10">
        <f ca="1">IF(tbl_VIXY[[#This Row],[BB_Mean]]="", "", tbl_VIXY[[#This Row],[BB_Mean]]+(BB_Width*tbl_VIXY[[#This Row],[BB_Stdev]]))</f>
        <v>22.491641240411454</v>
      </c>
      <c r="L69" s="10">
        <f ca="1">IF(tbl_VIXY[[#This Row],[BB_Mean]]="", "", tbl_VIXY[[#This Row],[BB_Mean]]-(BB_Width*tbl_VIXY[[#This Row],[BB_Stdev]]))</f>
        <v>15.928358759588543</v>
      </c>
      <c r="M69" s="46">
        <f>IF(ROW(tbl_VIXY[[#This Row],[Adj Close]])=5, 0, $F69-$F68)</f>
        <v>-0.38000000000000256</v>
      </c>
      <c r="N69" s="46">
        <f>MAX(tbl_VIXY[[#This Row],[Move]],0)</f>
        <v>0</v>
      </c>
      <c r="O69" s="46">
        <f>MAX(-tbl_VIXY[[#This Row],[Move]],0)</f>
        <v>0.38000000000000256</v>
      </c>
      <c r="P69" s="46">
        <f ca="1">IF(ROW($N69)-5&lt;RSI_Periods, "", AVERAGE(INDIRECT(ADDRESS(ROW($N69)-RSI_Periods +1, MATCH("Upmove", Price_Header,0))): INDIRECT(ADDRESS(ROW($N69),MATCH("Upmove", Price_Header,0)))))</f>
        <v>0.25571428571428584</v>
      </c>
      <c r="Q69" s="46">
        <f ca="1">IF(ROW($O69)-5&lt;RSI_Periods, "", AVERAGE(INDIRECT(ADDRESS(ROW($O69)-RSI_Periods +1, MATCH("Downmove", Price_Header,0))): INDIRECT(ADDRESS(ROW($O69),MATCH("Downmove", Price_Header,0)))))</f>
        <v>0.43857142857142889</v>
      </c>
      <c r="R69" s="46">
        <f ca="1">IF(tbl_VIXY[[#This Row],[Avg_Upmove]]="", "", tbl_VIXY[[#This Row],[Avg_Upmove]]/tbl_VIXY[[#This Row],[Avg_Downmove]])</f>
        <v>0.58306188925081415</v>
      </c>
      <c r="S69" s="10">
        <f ca="1">IF(ROW($N69)-4&lt;BB_Periods, "", _xlfn.STDEV.S(INDIRECT(ADDRESS(ROW($F69)-RSI_Periods +1, MATCH("Adj Close", Price_Header,0))): INDIRECT(ADDRESS(ROW($F69),MATCH("Adj Close", Price_Header,0)))))</f>
        <v>1.6408206202057276</v>
      </c>
    </row>
    <row r="70" spans="1:19" x14ac:dyDescent="0.35">
      <c r="A70" s="8">
        <v>44145</v>
      </c>
      <c r="B70" s="10">
        <v>16.059999999999999</v>
      </c>
      <c r="C70" s="10">
        <v>16.64</v>
      </c>
      <c r="D70" s="10">
        <v>15.92</v>
      </c>
      <c r="E70" s="10">
        <v>15.94</v>
      </c>
      <c r="F70" s="10">
        <v>15.94</v>
      </c>
      <c r="G70">
        <v>3256400</v>
      </c>
      <c r="H70" s="10">
        <f>IF(tbl_VIXY[[#This Row],[Date]]=$A$5, $F70, EMA_Beta*$H69 + (1-EMA_Beta)*$F70)</f>
        <v>20.159226391074895</v>
      </c>
      <c r="I70" s="46">
        <f ca="1">IF(tbl_VIXY[[#This Row],[RS]]= "", "", 100-(100/(1+tbl_VIXY[[#This Row],[RS]])))</f>
        <v>36.567926455566898</v>
      </c>
      <c r="J70" s="10">
        <f ca="1">IF(ROW($N70)-4&lt;BB_Periods, "", AVERAGE(INDIRECT(ADDRESS(ROW($F70)-RSI_Periods +1, MATCH("Adj Close", Price_Header,0))): INDIRECT(ADDRESS(ROW($F70),MATCH("Adj Close", Price_Header,0)))))</f>
        <v>19.022142857142857</v>
      </c>
      <c r="K70" s="10">
        <f ca="1">IF(tbl_VIXY[[#This Row],[BB_Mean]]="", "", tbl_VIXY[[#This Row],[BB_Mean]]+(BB_Width*tbl_VIXY[[#This Row],[BB_Stdev]]))</f>
        <v>22.734452348314324</v>
      </c>
      <c r="L70" s="10">
        <f ca="1">IF(tbl_VIXY[[#This Row],[BB_Mean]]="", "", tbl_VIXY[[#This Row],[BB_Mean]]-(BB_Width*tbl_VIXY[[#This Row],[BB_Stdev]]))</f>
        <v>15.309833365971389</v>
      </c>
      <c r="M70" s="46">
        <f>IF(ROW(tbl_VIXY[[#This Row],[Adj Close]])=5, 0, $F70-$F69)</f>
        <v>-0.52999999999999936</v>
      </c>
      <c r="N70" s="46">
        <f>MAX(tbl_VIXY[[#This Row],[Move]],0)</f>
        <v>0</v>
      </c>
      <c r="O70" s="46">
        <f>MAX(-tbl_VIXY[[#This Row],[Move]],0)</f>
        <v>0.52999999999999936</v>
      </c>
      <c r="P70" s="46">
        <f ca="1">IF(ROW($N70)-5&lt;RSI_Periods, "", AVERAGE(INDIRECT(ADDRESS(ROW($N70)-RSI_Periods +1, MATCH("Upmove", Price_Header,0))): INDIRECT(ADDRESS(ROW($N70),MATCH("Upmove", Price_Header,0)))))</f>
        <v>0.25571428571428584</v>
      </c>
      <c r="Q70" s="46">
        <f ca="1">IF(ROW($O70)-5&lt;RSI_Periods, "", AVERAGE(INDIRECT(ADDRESS(ROW($O70)-RSI_Periods +1, MATCH("Downmove", Price_Header,0))): INDIRECT(ADDRESS(ROW($O70),MATCH("Downmove", Price_Header,0)))))</f>
        <v>0.44357142857142878</v>
      </c>
      <c r="R70" s="46">
        <f ca="1">IF(tbl_VIXY[[#This Row],[Avg_Upmove]]="", "", tbl_VIXY[[#This Row],[Avg_Upmove]]/tbl_VIXY[[#This Row],[Avg_Downmove]])</f>
        <v>0.57648953301127215</v>
      </c>
      <c r="S70" s="10">
        <f ca="1">IF(ROW($N70)-4&lt;BB_Periods, "", _xlfn.STDEV.S(INDIRECT(ADDRESS(ROW($F70)-RSI_Periods +1, MATCH("Adj Close", Price_Header,0))): INDIRECT(ADDRESS(ROW($F70),MATCH("Adj Close", Price_Header,0)))))</f>
        <v>1.8561547455857341</v>
      </c>
    </row>
    <row r="71" spans="1:19" x14ac:dyDescent="0.35">
      <c r="A71" s="8">
        <v>44146</v>
      </c>
      <c r="B71" s="10">
        <v>15.7</v>
      </c>
      <c r="C71" s="10">
        <v>15.9</v>
      </c>
      <c r="D71" s="10">
        <v>15.28</v>
      </c>
      <c r="E71" s="10">
        <v>15.62</v>
      </c>
      <c r="F71" s="10">
        <v>15.62</v>
      </c>
      <c r="G71">
        <v>3331200</v>
      </c>
      <c r="H71" s="10">
        <f>IF(tbl_VIXY[[#This Row],[Date]]=$A$5, $F71, EMA_Beta*$H70 + (1-EMA_Beta)*$F71)</f>
        <v>19.705303751967406</v>
      </c>
      <c r="I71" s="46">
        <f ca="1">IF(tbl_VIXY[[#This Row],[RS]]= "", "", 100-(100/(1+tbl_VIXY[[#This Row],[RS]])))</f>
        <v>36.945304437564509</v>
      </c>
      <c r="J71" s="10">
        <f ca="1">IF(ROW($N71)-4&lt;BB_Periods, "", AVERAGE(INDIRECT(ADDRESS(ROW($F71)-RSI_Periods +1, MATCH("Adj Close", Price_Header,0))): INDIRECT(ADDRESS(ROW($F71),MATCH("Adj Close", Price_Header,0)))))</f>
        <v>18.841428571428569</v>
      </c>
      <c r="K71" s="10">
        <f ca="1">IF(tbl_VIXY[[#This Row],[BB_Mean]]="", "", tbl_VIXY[[#This Row],[BB_Mean]]+(BB_Width*tbl_VIXY[[#This Row],[BB_Stdev]]))</f>
        <v>22.960643262401906</v>
      </c>
      <c r="L71" s="10">
        <f ca="1">IF(tbl_VIXY[[#This Row],[BB_Mean]]="", "", tbl_VIXY[[#This Row],[BB_Mean]]-(BB_Width*tbl_VIXY[[#This Row],[BB_Stdev]]))</f>
        <v>14.722213880455232</v>
      </c>
      <c r="M71" s="46">
        <f>IF(ROW(tbl_VIXY[[#This Row],[Adj Close]])=5, 0, $F71-$F70)</f>
        <v>-0.32000000000000028</v>
      </c>
      <c r="N71" s="46">
        <f>MAX(tbl_VIXY[[#This Row],[Move]],0)</f>
        <v>0</v>
      </c>
      <c r="O71" s="46">
        <f>MAX(-tbl_VIXY[[#This Row],[Move]],0)</f>
        <v>0.32000000000000028</v>
      </c>
      <c r="P71" s="46">
        <f ca="1">IF(ROW($N71)-5&lt;RSI_Periods, "", AVERAGE(INDIRECT(ADDRESS(ROW($N71)-RSI_Periods +1, MATCH("Upmove", Price_Header,0))): INDIRECT(ADDRESS(ROW($N71),MATCH("Upmove", Price_Header,0)))))</f>
        <v>0.25571428571428584</v>
      </c>
      <c r="Q71" s="46">
        <f ca="1">IF(ROW($O71)-5&lt;RSI_Periods, "", AVERAGE(INDIRECT(ADDRESS(ROW($O71)-RSI_Periods +1, MATCH("Downmove", Price_Header,0))): INDIRECT(ADDRESS(ROW($O71),MATCH("Downmove", Price_Header,0)))))</f>
        <v>0.4364285714285715</v>
      </c>
      <c r="R71" s="46">
        <f ca="1">IF(tbl_VIXY[[#This Row],[Avg_Upmove]]="", "", tbl_VIXY[[#This Row],[Avg_Upmove]]/tbl_VIXY[[#This Row],[Avg_Downmove]])</f>
        <v>0.58592471358428821</v>
      </c>
      <c r="S71" s="10">
        <f ca="1">IF(ROW($N71)-4&lt;BB_Periods, "", _xlfn.STDEV.S(INDIRECT(ADDRESS(ROW($F71)-RSI_Periods +1, MATCH("Adj Close", Price_Header,0))): INDIRECT(ADDRESS(ROW($F71),MATCH("Adj Close", Price_Header,0)))))</f>
        <v>2.0596073454866688</v>
      </c>
    </row>
    <row r="72" spans="1:19" x14ac:dyDescent="0.35">
      <c r="A72" s="8">
        <v>44147</v>
      </c>
      <c r="B72" s="10">
        <v>15.83</v>
      </c>
      <c r="C72" s="10">
        <v>17.02</v>
      </c>
      <c r="D72" s="10">
        <v>15.64</v>
      </c>
      <c r="E72" s="10">
        <v>16.670000000000002</v>
      </c>
      <c r="F72" s="10">
        <v>16.670000000000002</v>
      </c>
      <c r="G72">
        <v>9223700</v>
      </c>
      <c r="H72" s="10">
        <f>IF(tbl_VIXY[[#This Row],[Date]]=$A$5, $F72, EMA_Beta*$H71 + (1-EMA_Beta)*$F72)</f>
        <v>19.401773376770663</v>
      </c>
      <c r="I72" s="46">
        <f ca="1">IF(tbl_VIXY[[#This Row],[RS]]= "", "", 100-(100/(1+tbl_VIXY[[#This Row],[RS]])))</f>
        <v>43.003731343283583</v>
      </c>
      <c r="J72" s="10">
        <f ca="1">IF(ROW($N72)-4&lt;BB_Periods, "", AVERAGE(INDIRECT(ADDRESS(ROW($F72)-RSI_Periods +1, MATCH("Adj Close", Price_Header,0))): INDIRECT(ADDRESS(ROW($F72),MATCH("Adj Close", Price_Header,0)))))</f>
        <v>18.734285714285715</v>
      </c>
      <c r="K72" s="10">
        <f ca="1">IF(tbl_VIXY[[#This Row],[BB_Mean]]="", "", tbl_VIXY[[#This Row],[BB_Mean]]+(BB_Width*tbl_VIXY[[#This Row],[BB_Stdev]]))</f>
        <v>23.004012524395137</v>
      </c>
      <c r="L72" s="10">
        <f ca="1">IF(tbl_VIXY[[#This Row],[BB_Mean]]="", "", tbl_VIXY[[#This Row],[BB_Mean]]-(BB_Width*tbl_VIXY[[#This Row],[BB_Stdev]]))</f>
        <v>14.464558904176293</v>
      </c>
      <c r="M72" s="46">
        <f>IF(ROW(tbl_VIXY[[#This Row],[Adj Close]])=5, 0, $F72-$F71)</f>
        <v>1.0500000000000025</v>
      </c>
      <c r="N72" s="46">
        <f>MAX(tbl_VIXY[[#This Row],[Move]],0)</f>
        <v>1.0500000000000025</v>
      </c>
      <c r="O72" s="46">
        <f>MAX(-tbl_VIXY[[#This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0.32928571428571435</v>
      </c>
      <c r="Q72" s="46">
        <f ca="1">IF(ROW($O72)-5&lt;RSI_Periods, "", AVERAGE(INDIRECT(ADDRESS(ROW($O72)-RSI_Periods +1, MATCH("Downmove", Price_Header,0))): INDIRECT(ADDRESS(ROW($O72),MATCH("Downmove", Price_Header,0)))))</f>
        <v>0.4364285714285715</v>
      </c>
      <c r="R72" s="46">
        <f ca="1">IF(tbl_VIXY[[#This Row],[Avg_Upmove]]="", "", tbl_VIXY[[#This Row],[Avg_Upmove]]/tbl_VIXY[[#This Row],[Avg_Downmove]])</f>
        <v>0.75450081833060556</v>
      </c>
      <c r="S72" s="10">
        <f ca="1">IF(ROW($N72)-4&lt;BB_Periods, "", _xlfn.STDEV.S(INDIRECT(ADDRESS(ROW($F72)-RSI_Periods +1, MATCH("Adj Close", Price_Header,0))): INDIRECT(ADDRESS(ROW($F72),MATCH("Adj Close", Price_Header,0)))))</f>
        <v>2.1348634050547113</v>
      </c>
    </row>
    <row r="73" spans="1:19" x14ac:dyDescent="0.35">
      <c r="A73" s="8">
        <v>44148</v>
      </c>
      <c r="B73" s="10">
        <v>16.12</v>
      </c>
      <c r="C73" s="10">
        <v>16.12</v>
      </c>
      <c r="D73" s="10">
        <v>15.38</v>
      </c>
      <c r="E73" s="10">
        <v>15.64</v>
      </c>
      <c r="F73" s="10">
        <v>15.64</v>
      </c>
      <c r="G73">
        <v>3947800</v>
      </c>
      <c r="H73" s="10">
        <f>IF(tbl_VIXY[[#This Row],[Date]]=$A$5, $F73, EMA_Beta*$H72 + (1-EMA_Beta)*$F73)</f>
        <v>19.025596039093596</v>
      </c>
      <c r="I73" s="46">
        <f ca="1">IF(tbl_VIXY[[#This Row],[RS]]= "", "", 100-(100/(1+tbl_VIXY[[#This Row],[RS]])))</f>
        <v>29.724409448818903</v>
      </c>
      <c r="J73" s="10">
        <f ca="1">IF(ROW($N73)-4&lt;BB_Periods, "", AVERAGE(INDIRECT(ADDRESS(ROW($F73)-RSI_Periods +1, MATCH("Adj Close", Price_Header,0))): INDIRECT(ADDRESS(ROW($F73),MATCH("Adj Close", Price_Header,0)))))</f>
        <v>18.440000000000001</v>
      </c>
      <c r="K73" s="10">
        <f ca="1">IF(tbl_VIXY[[#This Row],[BB_Mean]]="", "", tbl_VIXY[[#This Row],[BB_Mean]]+(BB_Width*tbl_VIXY[[#This Row],[BB_Stdev]]))</f>
        <v>22.965463002236945</v>
      </c>
      <c r="L73" s="10">
        <f ca="1">IF(tbl_VIXY[[#This Row],[BB_Mean]]="", "", tbl_VIXY[[#This Row],[BB_Mean]]-(BB_Width*tbl_VIXY[[#This Row],[BB_Stdev]]))</f>
        <v>13.914536997763058</v>
      </c>
      <c r="M73" s="46">
        <f>IF(ROW(tbl_VIXY[[#This Row],[Adj Close]])=5, 0, $F73-$F72)</f>
        <v>-1.0300000000000011</v>
      </c>
      <c r="N73" s="46">
        <f>MAX(tbl_VIXY[[#This Row],[Move]],0)</f>
        <v>0</v>
      </c>
      <c r="O73" s="46">
        <f>MAX(-tbl_VIXY[[#This Row],[Move]],0)</f>
        <v>1.0300000000000011</v>
      </c>
      <c r="P73" s="46">
        <f ca="1">IF(ROW($N73)-5&lt;RSI_Periods, "", AVERAGE(INDIRECT(ADDRESS(ROW($N73)-RSI_Periods +1, MATCH("Upmove", Price_Header,0))): INDIRECT(ADDRESS(ROW($N73),MATCH("Upmove", Price_Header,0)))))</f>
        <v>0.2157142857142858</v>
      </c>
      <c r="Q73" s="46">
        <f ca="1">IF(ROW($O73)-5&lt;RSI_Periods, "", AVERAGE(INDIRECT(ADDRESS(ROW($O73)-RSI_Periods +1, MATCH("Downmove", Price_Header,0))): INDIRECT(ADDRESS(ROW($O73),MATCH("Downmove", Price_Header,0)))))</f>
        <v>0.51000000000000012</v>
      </c>
      <c r="R73" s="46">
        <f ca="1">IF(tbl_VIXY[[#This Row],[Avg_Upmove]]="", "", tbl_VIXY[[#This Row],[Avg_Upmove]]/tbl_VIXY[[#This Row],[Avg_Downmove]])</f>
        <v>0.42296918767507008</v>
      </c>
      <c r="S73" s="10">
        <f ca="1">IF(ROW($N73)-4&lt;BB_Periods, "", _xlfn.STDEV.S(INDIRECT(ADDRESS(ROW($F73)-RSI_Periods +1, MATCH("Adj Close", Price_Header,0))): INDIRECT(ADDRESS(ROW($F73),MATCH("Adj Close", Price_Header,0)))))</f>
        <v>2.2627315011184721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SUBTOTAL(103,tbl_VIXY[BB_Stdev])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4A4B-C4EF-46CA-8710-56F1D38188BA}">
  <dimension ref="A1:S74"/>
  <sheetViews>
    <sheetView topLeftCell="B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380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6.19</v>
      </c>
      <c r="C5" s="10">
        <v>6.34</v>
      </c>
      <c r="D5" s="10">
        <v>6.02</v>
      </c>
      <c r="E5" s="10">
        <v>6.1</v>
      </c>
      <c r="F5" s="10">
        <v>6.1</v>
      </c>
      <c r="G5">
        <v>2177000</v>
      </c>
      <c r="H5" s="10">
        <f>IF(tbl_LLNW[[#This Row],[Date]]=$A$5, $F5, EMA_Beta*$H4 + (1-EMA_Beta)*$F5)</f>
        <v>6.1</v>
      </c>
      <c r="I5" s="46" t="str">
        <f ca="1">IF(tbl_LLNW[[#This Row],[RS]]= "", "", 100-(100/(1+tbl_LLNW[[#This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IF(tbl_LLNW[[#This Row],[BB_Mean]]="", "", tbl_LLNW[[#This Row],[BB_Mean]]+(BB_Width*tbl_LLNW[[#This Row],[BB_Stdev]]))</f>
        <v/>
      </c>
      <c r="L5" s="10" t="str">
        <f ca="1">IF(tbl_LLNW[[#This Row],[BB_Mean]]="", "", tbl_LLNW[[#This Row],[BB_Mean]]-(BB_Width*tbl_LLNW[[#This Row],[BB_Stdev]]))</f>
        <v/>
      </c>
      <c r="M5" s="46">
        <f>IF(ROW(tbl_LLNW[[#This Row],[Adj Close]])=5, 0, $F5-$F4)</f>
        <v>0</v>
      </c>
      <c r="N5" s="46">
        <f>MAX(tbl_LLNW[[#This Row],[Move]],0)</f>
        <v>0</v>
      </c>
      <c r="O5" s="46">
        <f>MAX(-tbl_LLNW[[#This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IF(tbl_LLNW[[#This Row],[Avg_Upmove]]="", "", tbl_LLNW[[#This Row],[Avg_Upmove]]/tbl_LLNW[[#This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6.12</v>
      </c>
      <c r="C6" s="10">
        <v>6.14</v>
      </c>
      <c r="D6" s="10">
        <v>5.88</v>
      </c>
      <c r="E6" s="10">
        <v>5.9</v>
      </c>
      <c r="F6" s="10">
        <v>5.9</v>
      </c>
      <c r="G6">
        <v>2923500</v>
      </c>
      <c r="H6" s="10">
        <f>IF(tbl_LLNW[[#This Row],[Date]]=$A$5, $F6, EMA_Beta*$H5 + (1-EMA_Beta)*$F6)</f>
        <v>6.08</v>
      </c>
      <c r="I6" s="46" t="str">
        <f ca="1">IF(tbl_LLNW[[#This Row],[RS]]= "", "", 100-(100/(1+tbl_LLNW[[#This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IF(tbl_LLNW[[#This Row],[BB_Mean]]="", "", tbl_LLNW[[#This Row],[BB_Mean]]+(BB_Width*tbl_LLNW[[#This Row],[BB_Stdev]]))</f>
        <v/>
      </c>
      <c r="L6" s="10" t="str">
        <f ca="1">IF(tbl_LLNW[[#This Row],[BB_Mean]]="", "", tbl_LLNW[[#This Row],[BB_Mean]]-(BB_Width*tbl_LLNW[[#This Row],[BB_Stdev]]))</f>
        <v/>
      </c>
      <c r="M6" s="46">
        <f>IF(ROW(tbl_LLNW[[#This Row],[Adj Close]])=5, 0, $F6-$F5)</f>
        <v>-0.19999999999999929</v>
      </c>
      <c r="N6" s="46">
        <f>MAX(tbl_LLNW[[#This Row],[Move]],0)</f>
        <v>0</v>
      </c>
      <c r="O6" s="46">
        <f>MAX(-tbl_LLNW[[#This Row],[Move]],0)</f>
        <v>0.19999999999999929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IF(tbl_LLNW[[#This Row],[Avg_Upmove]]="", "", tbl_LLNW[[#This Row],[Avg_Upmove]]/tbl_LLNW[[#This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5.97</v>
      </c>
      <c r="C7" s="10">
        <v>6.08</v>
      </c>
      <c r="D7" s="10">
        <v>5.88</v>
      </c>
      <c r="E7" s="10">
        <v>6.01</v>
      </c>
      <c r="F7" s="10">
        <v>6.01</v>
      </c>
      <c r="G7">
        <v>1445800</v>
      </c>
      <c r="H7" s="10">
        <f>IF(tbl_LLNW[[#This Row],[Date]]=$A$5, $F7, EMA_Beta*$H6 + (1-EMA_Beta)*$F7)</f>
        <v>6.0730000000000004</v>
      </c>
      <c r="I7" s="46" t="str">
        <f ca="1">IF(tbl_LLNW[[#This Row],[RS]]= "", "", 100-(100/(1+tbl_LLNW[[#This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IF(tbl_LLNW[[#This Row],[BB_Mean]]="", "", tbl_LLNW[[#This Row],[BB_Mean]]+(BB_Width*tbl_LLNW[[#This Row],[BB_Stdev]]))</f>
        <v/>
      </c>
      <c r="L7" s="10" t="str">
        <f ca="1">IF(tbl_LLNW[[#This Row],[BB_Mean]]="", "", tbl_LLNW[[#This Row],[BB_Mean]]-(BB_Width*tbl_LLNW[[#This Row],[BB_Stdev]]))</f>
        <v/>
      </c>
      <c r="M7" s="46">
        <f>IF(ROW(tbl_LLNW[[#This Row],[Adj Close]])=5, 0, $F7-$F6)</f>
        <v>0.10999999999999943</v>
      </c>
      <c r="N7" s="46">
        <f>MAX(tbl_LLNW[[#This Row],[Move]],0)</f>
        <v>0.10999999999999943</v>
      </c>
      <c r="O7" s="46">
        <f>MAX(-tbl_LLNW[[#This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IF(tbl_LLNW[[#This Row],[Avg_Upmove]]="", "", tbl_LLNW[[#This Row],[Avg_Upmove]]/tbl_LLNW[[#This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6</v>
      </c>
      <c r="C8" s="10">
        <v>6.15</v>
      </c>
      <c r="D8" s="10">
        <v>5.98</v>
      </c>
      <c r="E8" s="10">
        <v>6.1</v>
      </c>
      <c r="F8" s="10">
        <v>6.1</v>
      </c>
      <c r="G8">
        <v>1213500</v>
      </c>
      <c r="H8" s="10">
        <f>IF(tbl_LLNW[[#This Row],[Date]]=$A$5, $F8, EMA_Beta*$H7 + (1-EMA_Beta)*$F8)</f>
        <v>6.0757000000000012</v>
      </c>
      <c r="I8" s="46" t="str">
        <f ca="1">IF(tbl_LLNW[[#This Row],[RS]]= "", "", 100-(100/(1+tbl_LLNW[[#This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IF(tbl_LLNW[[#This Row],[BB_Mean]]="", "", tbl_LLNW[[#This Row],[BB_Mean]]+(BB_Width*tbl_LLNW[[#This Row],[BB_Stdev]]))</f>
        <v/>
      </c>
      <c r="L8" s="10" t="str">
        <f ca="1">IF(tbl_LLNW[[#This Row],[BB_Mean]]="", "", tbl_LLNW[[#This Row],[BB_Mean]]-(BB_Width*tbl_LLNW[[#This Row],[BB_Stdev]]))</f>
        <v/>
      </c>
      <c r="M8" s="46">
        <f>IF(ROW(tbl_LLNW[[#This Row],[Adj Close]])=5, 0, $F8-$F7)</f>
        <v>8.9999999999999858E-2</v>
      </c>
      <c r="N8" s="46">
        <f>MAX(tbl_LLNW[[#This Row],[Move]],0)</f>
        <v>8.9999999999999858E-2</v>
      </c>
      <c r="O8" s="46">
        <f>MAX(-tbl_LLNW[[#This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IF(tbl_LLNW[[#This Row],[Avg_Upmove]]="", "", tbl_LLNW[[#This Row],[Avg_Upmove]]/tbl_LLNW[[#This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6.09</v>
      </c>
      <c r="C9" s="10">
        <v>6.12</v>
      </c>
      <c r="D9" s="10">
        <v>5.95</v>
      </c>
      <c r="E9" s="10">
        <v>5.99</v>
      </c>
      <c r="F9" s="10">
        <v>5.99</v>
      </c>
      <c r="G9">
        <v>1740400</v>
      </c>
      <c r="H9" s="10">
        <f>IF(tbl_LLNW[[#This Row],[Date]]=$A$5, $F9, EMA_Beta*$H8 + (1-EMA_Beta)*$F9)</f>
        <v>6.0671300000000015</v>
      </c>
      <c r="I9" s="46" t="str">
        <f ca="1">IF(tbl_LLNW[[#This Row],[RS]]= "", "", 100-(100/(1+tbl_LLNW[[#This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IF(tbl_LLNW[[#This Row],[BB_Mean]]="", "", tbl_LLNW[[#This Row],[BB_Mean]]+(BB_Width*tbl_LLNW[[#This Row],[BB_Stdev]]))</f>
        <v/>
      </c>
      <c r="L9" s="10" t="str">
        <f ca="1">IF(tbl_LLNW[[#This Row],[BB_Mean]]="", "", tbl_LLNW[[#This Row],[BB_Mean]]-(BB_Width*tbl_LLNW[[#This Row],[BB_Stdev]]))</f>
        <v/>
      </c>
      <c r="M9" s="46">
        <f>IF(ROW(tbl_LLNW[[#This Row],[Adj Close]])=5, 0, $F9-$F8)</f>
        <v>-0.10999999999999943</v>
      </c>
      <c r="N9" s="46">
        <f>MAX(tbl_LLNW[[#This Row],[Move]],0)</f>
        <v>0</v>
      </c>
      <c r="O9" s="46">
        <f>MAX(-tbl_LLNW[[#This Row],[Move]],0)</f>
        <v>0.10999999999999943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IF(tbl_LLNW[[#This Row],[Avg_Upmove]]="", "", tbl_LLNW[[#This Row],[Avg_Upmove]]/tbl_LLNW[[#This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6.06</v>
      </c>
      <c r="C10" s="10">
        <v>6.2</v>
      </c>
      <c r="D10" s="10">
        <v>5.93</v>
      </c>
      <c r="E10" s="10">
        <v>6.12</v>
      </c>
      <c r="F10" s="10">
        <v>6.12</v>
      </c>
      <c r="G10">
        <v>1682300</v>
      </c>
      <c r="H10" s="10">
        <f>IF(tbl_LLNW[[#This Row],[Date]]=$A$5, $F10, EMA_Beta*$H9 + (1-EMA_Beta)*$F10)</f>
        <v>6.0724170000000015</v>
      </c>
      <c r="I10" s="46" t="str">
        <f ca="1">IF(tbl_LLNW[[#This Row],[RS]]= "", "", 100-(100/(1+tbl_LLNW[[#This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IF(tbl_LLNW[[#This Row],[BB_Mean]]="", "", tbl_LLNW[[#This Row],[BB_Mean]]+(BB_Width*tbl_LLNW[[#This Row],[BB_Stdev]]))</f>
        <v/>
      </c>
      <c r="L10" s="10" t="str">
        <f ca="1">IF(tbl_LLNW[[#This Row],[BB_Mean]]="", "", tbl_LLNW[[#This Row],[BB_Mean]]-(BB_Width*tbl_LLNW[[#This Row],[BB_Stdev]]))</f>
        <v/>
      </c>
      <c r="M10" s="46">
        <f>IF(ROW(tbl_LLNW[[#This Row],[Adj Close]])=5, 0, $F10-$F9)</f>
        <v>0.12999999999999989</v>
      </c>
      <c r="N10" s="46">
        <f>MAX(tbl_LLNW[[#This Row],[Move]],0)</f>
        <v>0.12999999999999989</v>
      </c>
      <c r="O10" s="46">
        <f>MAX(-tbl_LLNW[[#This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IF(tbl_LLNW[[#This Row],[Avg_Upmove]]="", "", tbl_LLNW[[#This Row],[Avg_Upmove]]/tbl_LLNW[[#This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6.18</v>
      </c>
      <c r="C11" s="10">
        <v>6.32</v>
      </c>
      <c r="D11" s="10">
        <v>6.11</v>
      </c>
      <c r="E11" s="10">
        <v>6.18</v>
      </c>
      <c r="F11" s="10">
        <v>6.18</v>
      </c>
      <c r="G11">
        <v>1541100</v>
      </c>
      <c r="H11" s="10">
        <f>IF(tbl_LLNW[[#This Row],[Date]]=$A$5, $F11, EMA_Beta*$H10 + (1-EMA_Beta)*$F11)</f>
        <v>6.0831753000000006</v>
      </c>
      <c r="I11" s="46" t="str">
        <f ca="1">IF(tbl_LLNW[[#This Row],[RS]]= "", "", 100-(100/(1+tbl_LLNW[[#This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IF(tbl_LLNW[[#This Row],[BB_Mean]]="", "", tbl_LLNW[[#This Row],[BB_Mean]]+(BB_Width*tbl_LLNW[[#This Row],[BB_Stdev]]))</f>
        <v/>
      </c>
      <c r="L11" s="10" t="str">
        <f ca="1">IF(tbl_LLNW[[#This Row],[BB_Mean]]="", "", tbl_LLNW[[#This Row],[BB_Mean]]-(BB_Width*tbl_LLNW[[#This Row],[BB_Stdev]]))</f>
        <v/>
      </c>
      <c r="M11" s="46">
        <f>IF(ROW(tbl_LLNW[[#This Row],[Adj Close]])=5, 0, $F11-$F10)</f>
        <v>5.9999999999999609E-2</v>
      </c>
      <c r="N11" s="46">
        <f>MAX(tbl_LLNW[[#This Row],[Move]],0)</f>
        <v>5.9999999999999609E-2</v>
      </c>
      <c r="O11" s="46">
        <f>MAX(-tbl_LLNW[[#This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IF(tbl_LLNW[[#This Row],[Avg_Upmove]]="", "", tbl_LLNW[[#This Row],[Avg_Upmove]]/tbl_LLNW[[#This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6.16</v>
      </c>
      <c r="C12" s="10">
        <v>6.29</v>
      </c>
      <c r="D12" s="10">
        <v>6.06</v>
      </c>
      <c r="E12" s="10">
        <v>6.07</v>
      </c>
      <c r="F12" s="10">
        <v>6.07</v>
      </c>
      <c r="G12">
        <v>1793700</v>
      </c>
      <c r="H12" s="10">
        <f>IF(tbl_LLNW[[#This Row],[Date]]=$A$5, $F12, EMA_Beta*$H11 + (1-EMA_Beta)*$F12)</f>
        <v>6.0818577700000009</v>
      </c>
      <c r="I12" s="46" t="str">
        <f ca="1">IF(tbl_LLNW[[#This Row],[RS]]= "", "", 100-(100/(1+tbl_LLNW[[#This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IF(tbl_LLNW[[#This Row],[BB_Mean]]="", "", tbl_LLNW[[#This Row],[BB_Mean]]+(BB_Width*tbl_LLNW[[#This Row],[BB_Stdev]]))</f>
        <v/>
      </c>
      <c r="L12" s="10" t="str">
        <f ca="1">IF(tbl_LLNW[[#This Row],[BB_Mean]]="", "", tbl_LLNW[[#This Row],[BB_Mean]]-(BB_Width*tbl_LLNW[[#This Row],[BB_Stdev]]))</f>
        <v/>
      </c>
      <c r="M12" s="46">
        <f>IF(ROW(tbl_LLNW[[#This Row],[Adj Close]])=5, 0, $F12-$F11)</f>
        <v>-0.10999999999999943</v>
      </c>
      <c r="N12" s="46">
        <f>MAX(tbl_LLNW[[#This Row],[Move]],0)</f>
        <v>0</v>
      </c>
      <c r="O12" s="46">
        <f>MAX(-tbl_LLNW[[#This Row],[Move]],0)</f>
        <v>0.10999999999999943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IF(tbl_LLNW[[#This Row],[Avg_Upmove]]="", "", tbl_LLNW[[#This Row],[Avg_Upmove]]/tbl_LLNW[[#This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6.12</v>
      </c>
      <c r="C13" s="10">
        <v>6.55</v>
      </c>
      <c r="D13" s="10">
        <v>6.1</v>
      </c>
      <c r="E13" s="10">
        <v>6.33</v>
      </c>
      <c r="F13" s="10">
        <v>6.33</v>
      </c>
      <c r="G13">
        <v>3337000</v>
      </c>
      <c r="H13" s="10">
        <f>IF(tbl_LLNW[[#This Row],[Date]]=$A$5, $F13, EMA_Beta*$H12 + (1-EMA_Beta)*$F13)</f>
        <v>6.1066719930000009</v>
      </c>
      <c r="I13" s="46" t="str">
        <f ca="1">IF(tbl_LLNW[[#This Row],[RS]]= "", "", 100-(100/(1+tbl_LLNW[[#This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IF(tbl_LLNW[[#This Row],[BB_Mean]]="", "", tbl_LLNW[[#This Row],[BB_Mean]]+(BB_Width*tbl_LLNW[[#This Row],[BB_Stdev]]))</f>
        <v/>
      </c>
      <c r="L13" s="10" t="str">
        <f ca="1">IF(tbl_LLNW[[#This Row],[BB_Mean]]="", "", tbl_LLNW[[#This Row],[BB_Mean]]-(BB_Width*tbl_LLNW[[#This Row],[BB_Stdev]]))</f>
        <v/>
      </c>
      <c r="M13" s="46">
        <f>IF(ROW(tbl_LLNW[[#This Row],[Adj Close]])=5, 0, $F13-$F12)</f>
        <v>0.25999999999999979</v>
      </c>
      <c r="N13" s="46">
        <f>MAX(tbl_LLNW[[#This Row],[Move]],0)</f>
        <v>0.25999999999999979</v>
      </c>
      <c r="O13" s="46">
        <f>MAX(-tbl_LLNW[[#This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IF(tbl_LLNW[[#This Row],[Avg_Upmove]]="", "", tbl_LLNW[[#This Row],[Avg_Upmove]]/tbl_LLNW[[#This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6.31</v>
      </c>
      <c r="C14" s="10">
        <v>6.44</v>
      </c>
      <c r="D14" s="10">
        <v>5.93</v>
      </c>
      <c r="E14" s="10">
        <v>6.04</v>
      </c>
      <c r="F14" s="10">
        <v>6.04</v>
      </c>
      <c r="G14">
        <v>3711100</v>
      </c>
      <c r="H14" s="10">
        <f>IF(tbl_LLNW[[#This Row],[Date]]=$A$5, $F14, EMA_Beta*$H13 + (1-EMA_Beta)*$F14)</f>
        <v>6.100004793700001</v>
      </c>
      <c r="I14" s="46" t="str">
        <f ca="1">IF(tbl_LLNW[[#This Row],[RS]]= "", "", 100-(100/(1+tbl_LLNW[[#This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IF(tbl_LLNW[[#This Row],[BB_Mean]]="", "", tbl_LLNW[[#This Row],[BB_Mean]]+(BB_Width*tbl_LLNW[[#This Row],[BB_Stdev]]))</f>
        <v/>
      </c>
      <c r="L14" s="10" t="str">
        <f ca="1">IF(tbl_LLNW[[#This Row],[BB_Mean]]="", "", tbl_LLNW[[#This Row],[BB_Mean]]-(BB_Width*tbl_LLNW[[#This Row],[BB_Stdev]]))</f>
        <v/>
      </c>
      <c r="M14" s="46">
        <f>IF(ROW(tbl_LLNW[[#This Row],[Adj Close]])=5, 0, $F14-$F13)</f>
        <v>-0.29000000000000004</v>
      </c>
      <c r="N14" s="46">
        <f>MAX(tbl_LLNW[[#This Row],[Move]],0)</f>
        <v>0</v>
      </c>
      <c r="O14" s="46">
        <f>MAX(-tbl_LLNW[[#This Row],[Move]],0)</f>
        <v>0.29000000000000004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IF(tbl_LLNW[[#This Row],[Avg_Upmove]]="", "", tbl_LLNW[[#This Row],[Avg_Upmove]]/tbl_LLNW[[#This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6.09</v>
      </c>
      <c r="C15" s="10">
        <v>6.16</v>
      </c>
      <c r="D15" s="10">
        <v>5.87</v>
      </c>
      <c r="E15" s="10">
        <v>5.97</v>
      </c>
      <c r="F15" s="10">
        <v>5.97</v>
      </c>
      <c r="G15">
        <v>3000800</v>
      </c>
      <c r="H15" s="10">
        <f>IF(tbl_LLNW[[#This Row],[Date]]=$A$5, $F15, EMA_Beta*$H14 + (1-EMA_Beta)*$F15)</f>
        <v>6.0870043143300006</v>
      </c>
      <c r="I15" s="46" t="str">
        <f ca="1">IF(tbl_LLNW[[#This Row],[RS]]= "", "", 100-(100/(1+tbl_LLNW[[#This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IF(tbl_LLNW[[#This Row],[BB_Mean]]="", "", tbl_LLNW[[#This Row],[BB_Mean]]+(BB_Width*tbl_LLNW[[#This Row],[BB_Stdev]]))</f>
        <v/>
      </c>
      <c r="L15" s="10" t="str">
        <f ca="1">IF(tbl_LLNW[[#This Row],[BB_Mean]]="", "", tbl_LLNW[[#This Row],[BB_Mean]]-(BB_Width*tbl_LLNW[[#This Row],[BB_Stdev]]))</f>
        <v/>
      </c>
      <c r="M15" s="46">
        <f>IF(ROW(tbl_LLNW[[#This Row],[Adj Close]])=5, 0, $F15-$F14)</f>
        <v>-7.0000000000000284E-2</v>
      </c>
      <c r="N15" s="46">
        <f>MAX(tbl_LLNW[[#This Row],[Move]],0)</f>
        <v>0</v>
      </c>
      <c r="O15" s="46">
        <f>MAX(-tbl_LLNW[[#This Row],[Move]],0)</f>
        <v>7.0000000000000284E-2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IF(tbl_LLNW[[#This Row],[Avg_Upmove]]="", "", tbl_LLNW[[#This Row],[Avg_Upmove]]/tbl_LLNW[[#This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5.97</v>
      </c>
      <c r="C16" s="10">
        <v>6.07</v>
      </c>
      <c r="D16" s="10">
        <v>5.84</v>
      </c>
      <c r="E16" s="10">
        <v>5.88</v>
      </c>
      <c r="F16" s="10">
        <v>5.88</v>
      </c>
      <c r="G16">
        <v>2745400</v>
      </c>
      <c r="H16" s="10">
        <f>IF(tbl_LLNW[[#This Row],[Date]]=$A$5, $F16, EMA_Beta*$H15 + (1-EMA_Beta)*$F16)</f>
        <v>6.0663038828970004</v>
      </c>
      <c r="I16" s="46" t="str">
        <f ca="1">IF(tbl_LLNW[[#This Row],[RS]]= "", "", 100-(100/(1+tbl_LLNW[[#This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IF(tbl_LLNW[[#This Row],[BB_Mean]]="", "", tbl_LLNW[[#This Row],[BB_Mean]]+(BB_Width*tbl_LLNW[[#This Row],[BB_Stdev]]))</f>
        <v/>
      </c>
      <c r="L16" s="10" t="str">
        <f ca="1">IF(tbl_LLNW[[#This Row],[BB_Mean]]="", "", tbl_LLNW[[#This Row],[BB_Mean]]-(BB_Width*tbl_LLNW[[#This Row],[BB_Stdev]]))</f>
        <v/>
      </c>
      <c r="M16" s="46">
        <f>IF(ROW(tbl_LLNW[[#This Row],[Adj Close]])=5, 0, $F16-$F15)</f>
        <v>-8.9999999999999858E-2</v>
      </c>
      <c r="N16" s="46">
        <f>MAX(tbl_LLNW[[#This Row],[Move]],0)</f>
        <v>0</v>
      </c>
      <c r="O16" s="46">
        <f>MAX(-tbl_LLNW[[#This Row],[Move]],0)</f>
        <v>8.9999999999999858E-2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IF(tbl_LLNW[[#This Row],[Avg_Upmove]]="", "", tbl_LLNW[[#This Row],[Avg_Upmove]]/tbl_LLNW[[#This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5.91</v>
      </c>
      <c r="C17" s="10">
        <v>5.97</v>
      </c>
      <c r="D17" s="10">
        <v>5.78</v>
      </c>
      <c r="E17" s="10">
        <v>5.85</v>
      </c>
      <c r="F17" s="10">
        <v>5.85</v>
      </c>
      <c r="G17">
        <v>3419200</v>
      </c>
      <c r="H17" s="10">
        <f>IF(tbl_LLNW[[#This Row],[Date]]=$A$5, $F17, EMA_Beta*$H16 + (1-EMA_Beta)*$F17)</f>
        <v>6.0446734946073004</v>
      </c>
      <c r="I17" s="46" t="str">
        <f ca="1">IF(tbl_LLNW[[#This Row],[RS]]= "", "", 100-(100/(1+tbl_LLNW[[#This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IF(tbl_LLNW[[#This Row],[BB_Mean]]="", "", tbl_LLNW[[#This Row],[BB_Mean]]+(BB_Width*tbl_LLNW[[#This Row],[BB_Stdev]]))</f>
        <v/>
      </c>
      <c r="L17" s="10" t="str">
        <f ca="1">IF(tbl_LLNW[[#This Row],[BB_Mean]]="", "", tbl_LLNW[[#This Row],[BB_Mean]]-(BB_Width*tbl_LLNW[[#This Row],[BB_Stdev]]))</f>
        <v/>
      </c>
      <c r="M17" s="46">
        <f>IF(ROW(tbl_LLNW[[#This Row],[Adj Close]])=5, 0, $F17-$F16)</f>
        <v>-3.0000000000000249E-2</v>
      </c>
      <c r="N17" s="46">
        <f>MAX(tbl_LLNW[[#This Row],[Move]],0)</f>
        <v>0</v>
      </c>
      <c r="O17" s="46">
        <f>MAX(-tbl_LLNW[[#This Row],[Move]],0)</f>
        <v>3.0000000000000249E-2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IF(tbl_LLNW[[#This Row],[Avg_Upmove]]="", "", tbl_LLNW[[#This Row],[Avg_Upmove]]/tbl_LLNW[[#This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5.88</v>
      </c>
      <c r="C18" s="10">
        <v>5.92</v>
      </c>
      <c r="D18" s="10">
        <v>5.56</v>
      </c>
      <c r="E18" s="10">
        <v>5.63</v>
      </c>
      <c r="F18" s="10">
        <v>5.63</v>
      </c>
      <c r="G18">
        <v>4522100</v>
      </c>
      <c r="H18" s="10">
        <f>IF(tbl_LLNW[[#This Row],[Date]]=$A$5, $F18, EMA_Beta*$H17 + (1-EMA_Beta)*$F18)</f>
        <v>6.0032061451465699</v>
      </c>
      <c r="I18" s="46" t="str">
        <f ca="1">IF(tbl_LLNW[[#This Row],[RS]]= "", "", 100-(100/(1+tbl_LLNW[[#This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6.0121428571428561</v>
      </c>
      <c r="K18" s="10">
        <f ca="1">IF(tbl_LLNW[[#This Row],[BB_Mean]]="", "", tbl_LLNW[[#This Row],[BB_Mean]]+(BB_Width*tbl_LLNW[[#This Row],[BB_Stdev]]))</f>
        <v>6.3472826508389817</v>
      </c>
      <c r="L18" s="10">
        <f ca="1">IF(tbl_LLNW[[#This Row],[BB_Mean]]="", "", tbl_LLNW[[#This Row],[BB_Mean]]-(BB_Width*tbl_LLNW[[#This Row],[BB_Stdev]]))</f>
        <v>5.6770030634467306</v>
      </c>
      <c r="M18" s="46">
        <f>IF(ROW(tbl_LLNW[[#This Row],[Adj Close]])=5, 0, $F18-$F17)</f>
        <v>-0.21999999999999975</v>
      </c>
      <c r="N18" s="46">
        <f>MAX(tbl_LLNW[[#This Row],[Move]],0)</f>
        <v>0</v>
      </c>
      <c r="O18" s="46">
        <f>MAX(-tbl_LLNW[[#This Row],[Move]],0)</f>
        <v>0.21999999999999975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IF(tbl_LLNW[[#This Row],[Avg_Upmove]]="", "", tbl_LLNW[[#This Row],[Avg_Upmove]]/tbl_LLNW[[#This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0.16756989684806259</v>
      </c>
    </row>
    <row r="19" spans="1:19" x14ac:dyDescent="0.35">
      <c r="A19" s="8">
        <v>44071</v>
      </c>
      <c r="B19" s="10">
        <v>5.65</v>
      </c>
      <c r="C19" s="10">
        <v>5.85</v>
      </c>
      <c r="D19" s="10">
        <v>5.59</v>
      </c>
      <c r="E19" s="10">
        <v>5.7</v>
      </c>
      <c r="F19" s="10">
        <v>5.7</v>
      </c>
      <c r="G19">
        <v>3556100</v>
      </c>
      <c r="H19" s="10">
        <f>IF(tbl_LLNW[[#This Row],[Date]]=$A$5, $F19, EMA_Beta*$H18 + (1-EMA_Beta)*$F19)</f>
        <v>5.9728855306319133</v>
      </c>
      <c r="I19" s="46">
        <f ca="1">IF(tbl_LLNW[[#This Row],[RS]]= "", "", 100-(100/(1+tbl_LLNW[[#This Row],[RS]])))</f>
        <v>39.130434782608695</v>
      </c>
      <c r="J19" s="10">
        <f ca="1">IF(ROW($N19)-4&lt;BB_Periods, "", AVERAGE(INDIRECT(ADDRESS(ROW($F19)-RSI_Periods +1, MATCH("Adj Close", Price_Header,0))): INDIRECT(ADDRESS(ROW($F19),MATCH("Adj Close", Price_Header,0)))))</f>
        <v>5.9835714285714277</v>
      </c>
      <c r="K19" s="10">
        <f ca="1">IF(tbl_LLNW[[#This Row],[BB_Mean]]="", "", tbl_LLNW[[#This Row],[BB_Mean]]+(BB_Width*tbl_LLNW[[#This Row],[BB_Stdev]]))</f>
        <v>6.3529040610405794</v>
      </c>
      <c r="L19" s="10">
        <f ca="1">IF(tbl_LLNW[[#This Row],[BB_Mean]]="", "", tbl_LLNW[[#This Row],[BB_Mean]]-(BB_Width*tbl_LLNW[[#This Row],[BB_Stdev]]))</f>
        <v>5.6142387961022759</v>
      </c>
      <c r="M19" s="46">
        <f>IF(ROW(tbl_LLNW[[#This Row],[Adj Close]])=5, 0, $F19-$F18)</f>
        <v>7.0000000000000284E-2</v>
      </c>
      <c r="N19" s="46">
        <f>MAX(tbl_LLNW[[#This Row],[Move]],0)</f>
        <v>7.0000000000000284E-2</v>
      </c>
      <c r="O19" s="46">
        <f>MAX(-tbl_LLNW[[#This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5.1428571428571344E-2</v>
      </c>
      <c r="Q19" s="46">
        <f ca="1">IF(ROW($O19)-5&lt;RSI_Periods, "", AVERAGE(INDIRECT(ADDRESS(ROW($O19)-RSI_Periods +1, MATCH("Downmove", Price_Header,0))): INDIRECT(ADDRESS(ROW($O19),MATCH("Downmove", Price_Header,0)))))</f>
        <v>7.9999999999999877E-2</v>
      </c>
      <c r="R19" s="46">
        <f ca="1">IF(tbl_LLNW[[#This Row],[Avg_Upmove]]="", "", tbl_LLNW[[#This Row],[Avg_Upmove]]/tbl_LLNW[[#This Row],[Avg_Downmove]])</f>
        <v>0.64285714285714279</v>
      </c>
      <c r="S19" s="10">
        <f ca="1">IF(ROW($N19)-4&lt;BB_Periods, "", _xlfn.STDEV.S(INDIRECT(ADDRESS(ROW($F19)-RSI_Periods +1, MATCH("Adj Close", Price_Header,0))): INDIRECT(ADDRESS(ROW($F19),MATCH("Adj Close", Price_Header,0)))))</f>
        <v>0.1846663162345758</v>
      </c>
    </row>
    <row r="20" spans="1:19" x14ac:dyDescent="0.35">
      <c r="A20" s="8">
        <v>44074</v>
      </c>
      <c r="B20" s="10">
        <v>5.72</v>
      </c>
      <c r="C20" s="10">
        <v>5.72</v>
      </c>
      <c r="D20" s="10">
        <v>5.47</v>
      </c>
      <c r="E20" s="10">
        <v>5.67</v>
      </c>
      <c r="F20" s="10">
        <v>5.67</v>
      </c>
      <c r="G20">
        <v>3423900</v>
      </c>
      <c r="H20" s="10">
        <f>IF(tbl_LLNW[[#This Row],[Date]]=$A$5, $F20, EMA_Beta*$H19 + (1-EMA_Beta)*$F20)</f>
        <v>5.942596977568722</v>
      </c>
      <c r="I20" s="46">
        <f ca="1">IF(tbl_LLNW[[#This Row],[RS]]= "", "", 100-(100/(1+tbl_LLNW[[#This Row],[RS]])))</f>
        <v>43.113772455089794</v>
      </c>
      <c r="J20" s="10">
        <f ca="1">IF(ROW($N20)-4&lt;BB_Periods, "", AVERAGE(INDIRECT(ADDRESS(ROW($F20)-RSI_Periods +1, MATCH("Adj Close", Price_Header,0))): INDIRECT(ADDRESS(ROW($F20),MATCH("Adj Close", Price_Header,0)))))</f>
        <v>5.9671428571428562</v>
      </c>
      <c r="K20" s="10">
        <f ca="1">IF(tbl_LLNW[[#This Row],[BB_Mean]]="", "", tbl_LLNW[[#This Row],[BB_Mean]]+(BB_Width*tbl_LLNW[[#This Row],[BB_Stdev]]))</f>
        <v>6.3713079849674257</v>
      </c>
      <c r="L20" s="10">
        <f ca="1">IF(tbl_LLNW[[#This Row],[BB_Mean]]="", "", tbl_LLNW[[#This Row],[BB_Mean]]-(BB_Width*tbl_LLNW[[#This Row],[BB_Stdev]]))</f>
        <v>5.5629777293182867</v>
      </c>
      <c r="M20" s="46">
        <f>IF(ROW(tbl_LLNW[[#This Row],[Adj Close]])=5, 0, $F20-$F19)</f>
        <v>-3.0000000000000249E-2</v>
      </c>
      <c r="N20" s="46">
        <f>MAX(tbl_LLNW[[#This Row],[Move]],0)</f>
        <v>0</v>
      </c>
      <c r="O20" s="46">
        <f>MAX(-tbl_LLNW[[#This Row],[Move]],0)</f>
        <v>3.0000000000000249E-2</v>
      </c>
      <c r="P20" s="46">
        <f ca="1">IF(ROW($N20)-5&lt;RSI_Periods, "", AVERAGE(INDIRECT(ADDRESS(ROW($N20)-RSI_Periods +1, MATCH("Upmove", Price_Header,0))): INDIRECT(ADDRESS(ROW($N20),MATCH("Upmove", Price_Header,0)))))</f>
        <v>5.1428571428571344E-2</v>
      </c>
      <c r="Q20" s="46">
        <f ca="1">IF(ROW($O20)-5&lt;RSI_Periods, "", AVERAGE(INDIRECT(ADDRESS(ROW($O20)-RSI_Periods +1, MATCH("Downmove", Price_Header,0))): INDIRECT(ADDRESS(ROW($O20),MATCH("Downmove", Price_Header,0)))))</f>
        <v>6.785714285714281E-2</v>
      </c>
      <c r="R20" s="46">
        <f ca="1">IF(tbl_LLNW[[#This Row],[Avg_Upmove]]="", "", tbl_LLNW[[#This Row],[Avg_Upmove]]/tbl_LLNW[[#This Row],[Avg_Downmove]])</f>
        <v>0.75789473684210451</v>
      </c>
      <c r="S20" s="10">
        <f ca="1">IF(ROW($N20)-4&lt;BB_Periods, "", _xlfn.STDEV.S(INDIRECT(ADDRESS(ROW($F20)-RSI_Periods +1, MATCH("Adj Close", Price_Header,0))): INDIRECT(ADDRESS(ROW($F20),MATCH("Adj Close", Price_Header,0)))))</f>
        <v>0.20208256391228471</v>
      </c>
    </row>
    <row r="21" spans="1:19" x14ac:dyDescent="0.35">
      <c r="A21" s="8">
        <v>44075</v>
      </c>
      <c r="B21" s="10">
        <v>5.66</v>
      </c>
      <c r="C21" s="10">
        <v>5.83</v>
      </c>
      <c r="D21" s="10">
        <v>5.63</v>
      </c>
      <c r="E21" s="10">
        <v>5.75</v>
      </c>
      <c r="F21" s="10">
        <v>5.75</v>
      </c>
      <c r="G21">
        <v>3454800</v>
      </c>
      <c r="H21" s="10">
        <f>IF(tbl_LLNW[[#This Row],[Date]]=$A$5, $F21, EMA_Beta*$H20 + (1-EMA_Beta)*$F21)</f>
        <v>5.9233372798118502</v>
      </c>
      <c r="I21" s="46">
        <f ca="1">IF(tbl_LLNW[[#This Row],[RS]]= "", "", 100-(100/(1+tbl_LLNW[[#This Row],[RS]])))</f>
        <v>42.073170731707322</v>
      </c>
      <c r="J21" s="10">
        <f ca="1">IF(ROW($N21)-4&lt;BB_Periods, "", AVERAGE(INDIRECT(ADDRESS(ROW($F21)-RSI_Periods +1, MATCH("Adj Close", Price_Header,0))): INDIRECT(ADDRESS(ROW($F21),MATCH("Adj Close", Price_Header,0)))))</f>
        <v>5.9485714285714284</v>
      </c>
      <c r="K21" s="10">
        <f ca="1">IF(tbl_LLNW[[#This Row],[BB_Mean]]="", "", tbl_LLNW[[#This Row],[BB_Mean]]+(BB_Width*tbl_LLNW[[#This Row],[BB_Stdev]]))</f>
        <v>6.367864397039293</v>
      </c>
      <c r="L21" s="10">
        <f ca="1">IF(tbl_LLNW[[#This Row],[BB_Mean]]="", "", tbl_LLNW[[#This Row],[BB_Mean]]-(BB_Width*tbl_LLNW[[#This Row],[BB_Stdev]]))</f>
        <v>5.5292784601035638</v>
      </c>
      <c r="M21" s="46">
        <f>IF(ROW(tbl_LLNW[[#This Row],[Adj Close]])=5, 0, $F21-$F20)</f>
        <v>8.0000000000000071E-2</v>
      </c>
      <c r="N21" s="46">
        <f>MAX(tbl_LLNW[[#This Row],[Move]],0)</f>
        <v>8.0000000000000071E-2</v>
      </c>
      <c r="O21" s="46">
        <f>MAX(-tbl_LLNW[[#This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4.9285714285714252E-2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IF(tbl_LLNW[[#This Row],[Avg_Upmove]]="", "", tbl_LLNW[[#This Row],[Avg_Upmove]]/tbl_LLNW[[#This Row],[Avg_Downmove]])</f>
        <v>0.72631578947368425</v>
      </c>
      <c r="S21" s="10">
        <f ca="1">IF(ROW($N21)-4&lt;BB_Periods, "", _xlfn.STDEV.S(INDIRECT(ADDRESS(ROW($F21)-RSI_Periods +1, MATCH("Adj Close", Price_Header,0))): INDIRECT(ADDRESS(ROW($F21),MATCH("Adj Close", Price_Header,0)))))</f>
        <v>0.20964648423393212</v>
      </c>
    </row>
    <row r="22" spans="1:19" x14ac:dyDescent="0.35">
      <c r="A22" s="8">
        <v>44076</v>
      </c>
      <c r="B22" s="10">
        <v>5.82</v>
      </c>
      <c r="C22" s="10">
        <v>5.86</v>
      </c>
      <c r="D22" s="10">
        <v>5.32</v>
      </c>
      <c r="E22" s="10">
        <v>5.47</v>
      </c>
      <c r="F22" s="10">
        <v>5.47</v>
      </c>
      <c r="G22">
        <v>5544700</v>
      </c>
      <c r="H22" s="10">
        <f>IF(tbl_LLNW[[#This Row],[Date]]=$A$5, $F22, EMA_Beta*$H21 + (1-EMA_Beta)*$F22)</f>
        <v>5.8780035518306653</v>
      </c>
      <c r="I22" s="46">
        <f ca="1">IF(tbl_LLNW[[#This Row],[RS]]= "", "", 100-(100/(1+tbl_LLNW[[#This Row],[RS]])))</f>
        <v>32.78688524590163</v>
      </c>
      <c r="J22" s="10">
        <f ca="1">IF(ROW($N22)-4&lt;BB_Periods, "", AVERAGE(INDIRECT(ADDRESS(ROW($F22)-RSI_Periods +1, MATCH("Adj Close", Price_Header,0))): INDIRECT(ADDRESS(ROW($F22),MATCH("Adj Close", Price_Header,0)))))</f>
        <v>5.9035714285714294</v>
      </c>
      <c r="K22" s="10">
        <f ca="1">IF(tbl_LLNW[[#This Row],[BB_Mean]]="", "", tbl_LLNW[[#This Row],[BB_Mean]]+(BB_Width*tbl_LLNW[[#This Row],[BB_Stdev]]))</f>
        <v>6.3836744394960654</v>
      </c>
      <c r="L22" s="10">
        <f ca="1">IF(tbl_LLNW[[#This Row],[BB_Mean]]="", "", tbl_LLNW[[#This Row],[BB_Mean]]-(BB_Width*tbl_LLNW[[#This Row],[BB_Stdev]]))</f>
        <v>5.4234684176467933</v>
      </c>
      <c r="M22" s="46">
        <f>IF(ROW(tbl_LLNW[[#This Row],[Adj Close]])=5, 0, $F22-$F21)</f>
        <v>-0.28000000000000025</v>
      </c>
      <c r="N22" s="46">
        <f>MAX(tbl_LLNW[[#This Row],[Move]],0)</f>
        <v>0</v>
      </c>
      <c r="O22" s="46">
        <f>MAX(-tbl_LLNW[[#This Row],[Move]],0)</f>
        <v>0.28000000000000025</v>
      </c>
      <c r="P22" s="46">
        <f ca="1">IF(ROW($N22)-5&lt;RSI_Periods, "", AVERAGE(INDIRECT(ADDRESS(ROW($N22)-RSI_Periods +1, MATCH("Upmove", Price_Header,0))): INDIRECT(ADDRESS(ROW($N22),MATCH("Upmove", Price_Header,0)))))</f>
        <v>4.285714285714283E-2</v>
      </c>
      <c r="Q22" s="46">
        <f ca="1">IF(ROW($O22)-5&lt;RSI_Periods, "", AVERAGE(INDIRECT(ADDRESS(ROW($O22)-RSI_Periods +1, MATCH("Downmove", Price_Header,0))): INDIRECT(ADDRESS(ROW($O22),MATCH("Downmove", Price_Header,0)))))</f>
        <v>8.7857142857142828E-2</v>
      </c>
      <c r="R22" s="46">
        <f ca="1">IF(tbl_LLNW[[#This Row],[Avg_Upmove]]="", "", tbl_LLNW[[#This Row],[Avg_Upmove]]/tbl_LLNW[[#This Row],[Avg_Downmove]])</f>
        <v>0.48780487804878031</v>
      </c>
      <c r="S22" s="10">
        <f ca="1">IF(ROW($N22)-4&lt;BB_Periods, "", _xlfn.STDEV.S(INDIRECT(ADDRESS(ROW($F22)-RSI_Periods +1, MATCH("Adj Close", Price_Header,0))): INDIRECT(ADDRESS(ROW($F22),MATCH("Adj Close", Price_Header,0)))))</f>
        <v>0.24005150546231802</v>
      </c>
    </row>
    <row r="23" spans="1:19" x14ac:dyDescent="0.35">
      <c r="A23" s="8">
        <v>44077</v>
      </c>
      <c r="B23" s="10">
        <v>5.35</v>
      </c>
      <c r="C23" s="10">
        <v>5.49</v>
      </c>
      <c r="D23" s="10">
        <v>5.14</v>
      </c>
      <c r="E23" s="10">
        <v>5.22</v>
      </c>
      <c r="F23" s="10">
        <v>5.22</v>
      </c>
      <c r="G23">
        <v>3608200</v>
      </c>
      <c r="H23" s="10">
        <f>IF(tbl_LLNW[[#This Row],[Date]]=$A$5, $F23, EMA_Beta*$H22 + (1-EMA_Beta)*$F23)</f>
        <v>5.8122031966475989</v>
      </c>
      <c r="I23" s="46">
        <f ca="1">IF(tbl_LLNW[[#This Row],[RS]]= "", "", 100-(100/(1+tbl_LLNW[[#This Row],[RS]])))</f>
        <v>30.456852791878163</v>
      </c>
      <c r="J23" s="10">
        <f ca="1">IF(ROW($N23)-4&lt;BB_Periods, "", AVERAGE(INDIRECT(ADDRESS(ROW($F23)-RSI_Periods +1, MATCH("Adj Close", Price_Header,0))): INDIRECT(ADDRESS(ROW($F23),MATCH("Adj Close", Price_Header,0)))))</f>
        <v>5.8485714285714296</v>
      </c>
      <c r="K23" s="10">
        <f ca="1">IF(tbl_LLNW[[#This Row],[BB_Mean]]="", "", tbl_LLNW[[#This Row],[BB_Mean]]+(BB_Width*tbl_LLNW[[#This Row],[BB_Stdev]]))</f>
        <v>6.4476916627023222</v>
      </c>
      <c r="L23" s="10">
        <f ca="1">IF(tbl_LLNW[[#This Row],[BB_Mean]]="", "", tbl_LLNW[[#This Row],[BB_Mean]]-(BB_Width*tbl_LLNW[[#This Row],[BB_Stdev]]))</f>
        <v>5.2494511944405371</v>
      </c>
      <c r="M23" s="46">
        <f>IF(ROW(tbl_LLNW[[#This Row],[Adj Close]])=5, 0, $F23-$F22)</f>
        <v>-0.25</v>
      </c>
      <c r="N23" s="46">
        <f>MAX(tbl_LLNW[[#This Row],[Move]],0)</f>
        <v>0</v>
      </c>
      <c r="O23" s="46">
        <f>MAX(-tbl_LLNW[[#This Row],[Move]],0)</f>
        <v>0.25</v>
      </c>
      <c r="P23" s="46">
        <f ca="1">IF(ROW($N23)-5&lt;RSI_Periods, "", AVERAGE(INDIRECT(ADDRESS(ROW($N23)-RSI_Periods +1, MATCH("Upmove", Price_Header,0))): INDIRECT(ADDRESS(ROW($N23),MATCH("Upmove", Price_Header,0)))))</f>
        <v>4.285714285714283E-2</v>
      </c>
      <c r="Q23" s="46">
        <f ca="1">IF(ROW($O23)-5&lt;RSI_Periods, "", AVERAGE(INDIRECT(ADDRESS(ROW($O23)-RSI_Periods +1, MATCH("Downmove", Price_Header,0))): INDIRECT(ADDRESS(ROW($O23),MATCH("Downmove", Price_Header,0)))))</f>
        <v>9.7857142857142865E-2</v>
      </c>
      <c r="R23" s="46">
        <f ca="1">IF(tbl_LLNW[[#This Row],[Avg_Upmove]]="", "", tbl_LLNW[[#This Row],[Avg_Upmove]]/tbl_LLNW[[#This Row],[Avg_Downmove]])</f>
        <v>0.43795620437956173</v>
      </c>
      <c r="S23" s="10">
        <f ca="1">IF(ROW($N23)-4&lt;BB_Periods, "", _xlfn.STDEV.S(INDIRECT(ADDRESS(ROW($F23)-RSI_Periods +1, MATCH("Adj Close", Price_Header,0))): INDIRECT(ADDRESS(ROW($F23),MATCH("Adj Close", Price_Header,0)))))</f>
        <v>0.29956011706544611</v>
      </c>
    </row>
    <row r="24" spans="1:19" x14ac:dyDescent="0.35">
      <c r="A24" s="8">
        <v>44078</v>
      </c>
      <c r="B24" s="10">
        <v>5.15</v>
      </c>
      <c r="C24" s="10">
        <v>5.3</v>
      </c>
      <c r="D24" s="10">
        <v>4.83</v>
      </c>
      <c r="E24" s="10">
        <v>5.0199999999999996</v>
      </c>
      <c r="F24" s="10">
        <v>5.0199999999999996</v>
      </c>
      <c r="G24">
        <v>4743600</v>
      </c>
      <c r="H24" s="10">
        <f>IF(tbl_LLNW[[#This Row],[Date]]=$A$5, $F24, EMA_Beta*$H23 + (1-EMA_Beta)*$F24)</f>
        <v>5.732982876982839</v>
      </c>
      <c r="I24" s="46">
        <f ca="1">IF(tbl_LLNW[[#This Row],[RS]]= "", "", 100-(100/(1+tbl_LLNW[[#This Row],[RS]])))</f>
        <v>23.039215686274488</v>
      </c>
      <c r="J24" s="10">
        <f ca="1">IF(ROW($N24)-4&lt;BB_Periods, "", AVERAGE(INDIRECT(ADDRESS(ROW($F24)-RSI_Periods +1, MATCH("Adj Close", Price_Header,0))): INDIRECT(ADDRESS(ROW($F24),MATCH("Adj Close", Price_Header,0)))))</f>
        <v>5.7700000000000005</v>
      </c>
      <c r="K24" s="10">
        <f ca="1">IF(tbl_LLNW[[#This Row],[BB_Mean]]="", "", tbl_LLNW[[#This Row],[BB_Mean]]+(BB_Width*tbl_LLNW[[#This Row],[BB_Stdev]]))</f>
        <v>6.4917500099917405</v>
      </c>
      <c r="L24" s="10">
        <f ca="1">IF(tbl_LLNW[[#This Row],[BB_Mean]]="", "", tbl_LLNW[[#This Row],[BB_Mean]]-(BB_Width*tbl_LLNW[[#This Row],[BB_Stdev]]))</f>
        <v>5.0482499900082605</v>
      </c>
      <c r="M24" s="46">
        <f>IF(ROW(tbl_LLNW[[#This Row],[Adj Close]])=5, 0, $F24-$F23)</f>
        <v>-0.20000000000000018</v>
      </c>
      <c r="N24" s="46">
        <f>MAX(tbl_LLNW[[#This Row],[Move]],0)</f>
        <v>0</v>
      </c>
      <c r="O24" s="46">
        <f>MAX(-tbl_LLNW[[#This Row],[Move]],0)</f>
        <v>0.20000000000000018</v>
      </c>
      <c r="P24" s="46">
        <f ca="1">IF(ROW($N24)-5&lt;RSI_Periods, "", AVERAGE(INDIRECT(ADDRESS(ROW($N24)-RSI_Periods +1, MATCH("Upmove", Price_Header,0))): INDIRECT(ADDRESS(ROW($N24),MATCH("Upmove", Price_Header,0)))))</f>
        <v>3.3571428571428551E-2</v>
      </c>
      <c r="Q24" s="46">
        <f ca="1">IF(ROW($O24)-5&lt;RSI_Periods, "", AVERAGE(INDIRECT(ADDRESS(ROW($O24)-RSI_Periods +1, MATCH("Downmove", Price_Header,0))): INDIRECT(ADDRESS(ROW($O24),MATCH("Downmove", Price_Header,0)))))</f>
        <v>0.11214285714285717</v>
      </c>
      <c r="R24" s="46">
        <f ca="1">IF(tbl_LLNW[[#This Row],[Avg_Upmove]]="", "", tbl_LLNW[[#This Row],[Avg_Upmove]]/tbl_LLNW[[#This Row],[Avg_Downmove]])</f>
        <v>0.29936305732484053</v>
      </c>
      <c r="S24" s="10">
        <f ca="1">IF(ROW($N24)-4&lt;BB_Periods, "", _xlfn.STDEV.S(INDIRECT(ADDRESS(ROW($F24)-RSI_Periods +1, MATCH("Adj Close", Price_Header,0))): INDIRECT(ADDRESS(ROW($F24),MATCH("Adj Close", Price_Header,0)))))</f>
        <v>0.36087500499587016</v>
      </c>
    </row>
    <row r="25" spans="1:19" x14ac:dyDescent="0.35">
      <c r="A25" s="8">
        <v>44082</v>
      </c>
      <c r="B25" s="10">
        <v>5.01</v>
      </c>
      <c r="C25" s="10">
        <v>5.14</v>
      </c>
      <c r="D25" s="10">
        <v>4.9000000000000004</v>
      </c>
      <c r="E25" s="10">
        <v>4.99</v>
      </c>
      <c r="F25" s="10">
        <v>4.99</v>
      </c>
      <c r="G25">
        <v>4058100</v>
      </c>
      <c r="H25" s="10">
        <f>IF(tbl_LLNW[[#This Row],[Date]]=$A$5, $F25, EMA_Beta*$H24 + (1-EMA_Beta)*$F25)</f>
        <v>5.6586845892845545</v>
      </c>
      <c r="I25" s="46">
        <f ca="1">IF(tbl_LLNW[[#This Row],[RS]]= "", "", 100-(100/(1+tbl_LLNW[[#This Row],[RS]])))</f>
        <v>20.398009950248763</v>
      </c>
      <c r="J25" s="10">
        <f ca="1">IF(ROW($N25)-4&lt;BB_Periods, "", AVERAGE(INDIRECT(ADDRESS(ROW($F25)-RSI_Periods +1, MATCH("Adj Close", Price_Header,0))): INDIRECT(ADDRESS(ROW($F25),MATCH("Adj Close", Price_Header,0)))))</f>
        <v>5.6850000000000005</v>
      </c>
      <c r="K25" s="10">
        <f ca="1">IF(tbl_LLNW[[#This Row],[BB_Mean]]="", "", tbl_LLNW[[#This Row],[BB_Mean]]+(BB_Width*tbl_LLNW[[#This Row],[BB_Stdev]]))</f>
        <v>6.4757445371780475</v>
      </c>
      <c r="L25" s="10">
        <f ca="1">IF(tbl_LLNW[[#This Row],[BB_Mean]]="", "", tbl_LLNW[[#This Row],[BB_Mean]]-(BB_Width*tbl_LLNW[[#This Row],[BB_Stdev]]))</f>
        <v>4.8942554628219535</v>
      </c>
      <c r="M25" s="46">
        <f>IF(ROW(tbl_LLNW[[#This Row],[Adj Close]])=5, 0, $F25-$F24)</f>
        <v>-2.9999999999999361E-2</v>
      </c>
      <c r="N25" s="46">
        <f>MAX(tbl_LLNW[[#This Row],[Move]],0)</f>
        <v>0</v>
      </c>
      <c r="O25" s="46">
        <f>MAX(-tbl_LLNW[[#This Row],[Move]],0)</f>
        <v>2.9999999999999361E-2</v>
      </c>
      <c r="P25" s="46">
        <f ca="1">IF(ROW($N25)-5&lt;RSI_Periods, "", AVERAGE(INDIRECT(ADDRESS(ROW($N25)-RSI_Periods +1, MATCH("Upmove", Price_Header,0))): INDIRECT(ADDRESS(ROW($N25),MATCH("Upmove", Price_Header,0)))))</f>
        <v>2.9285714285714297E-2</v>
      </c>
      <c r="Q25" s="46">
        <f ca="1">IF(ROW($O25)-5&lt;RSI_Periods, "", AVERAGE(INDIRECT(ADDRESS(ROW($O25)-RSI_Periods +1, MATCH("Downmove", Price_Header,0))): INDIRECT(ADDRESS(ROW($O25),MATCH("Downmove", Price_Header,0)))))</f>
        <v>0.11428571428571425</v>
      </c>
      <c r="R25" s="46">
        <f ca="1">IF(tbl_LLNW[[#This Row],[Avg_Upmove]]="", "", tbl_LLNW[[#This Row],[Avg_Upmove]]/tbl_LLNW[[#This Row],[Avg_Downmove]])</f>
        <v>0.25625000000000014</v>
      </c>
      <c r="S25" s="10">
        <f ca="1">IF(ROW($N25)-4&lt;BB_Periods, "", _xlfn.STDEV.S(INDIRECT(ADDRESS(ROW($F25)-RSI_Periods +1, MATCH("Adj Close", Price_Header,0))): INDIRECT(ADDRESS(ROW($F25),MATCH("Adj Close", Price_Header,0)))))</f>
        <v>0.39537226858902336</v>
      </c>
    </row>
    <row r="26" spans="1:19" x14ac:dyDescent="0.35">
      <c r="A26" s="8">
        <v>44083</v>
      </c>
      <c r="B26" s="10">
        <v>5.1100000000000003</v>
      </c>
      <c r="C26" s="10">
        <v>5.41</v>
      </c>
      <c r="D26" s="10">
        <v>5.1100000000000003</v>
      </c>
      <c r="E26" s="10">
        <v>5.31</v>
      </c>
      <c r="F26" s="10">
        <v>5.31</v>
      </c>
      <c r="G26">
        <v>2956100</v>
      </c>
      <c r="H26" s="10">
        <f>IF(tbl_LLNW[[#This Row],[Date]]=$A$5, $F26, EMA_Beta*$H25 + (1-EMA_Beta)*$F26)</f>
        <v>5.623816130356099</v>
      </c>
      <c r="I26" s="46">
        <f ca="1">IF(tbl_LLNW[[#This Row],[RS]]= "", "", 100-(100/(1+tbl_LLNW[[#This Row],[RS]])))</f>
        <v>32.882882882882868</v>
      </c>
      <c r="J26" s="10">
        <f ca="1">IF(ROW($N26)-4&lt;BB_Periods, "", AVERAGE(INDIRECT(ADDRESS(ROW($F26)-RSI_Periods +1, MATCH("Adj Close", Price_Header,0))): INDIRECT(ADDRESS(ROW($F26),MATCH("Adj Close", Price_Header,0)))))</f>
        <v>5.6307142857142853</v>
      </c>
      <c r="K26" s="10">
        <f ca="1">IF(tbl_LLNW[[#This Row],[BB_Mean]]="", "", tbl_LLNW[[#This Row],[BB_Mean]]+(BB_Width*tbl_LLNW[[#This Row],[BB_Stdev]]))</f>
        <v>6.4118954145467448</v>
      </c>
      <c r="L26" s="10">
        <f ca="1">IF(tbl_LLNW[[#This Row],[BB_Mean]]="", "", tbl_LLNW[[#This Row],[BB_Mean]]-(BB_Width*tbl_LLNW[[#This Row],[BB_Stdev]]))</f>
        <v>4.8495331568818258</v>
      </c>
      <c r="M26" s="46">
        <f>IF(ROW(tbl_LLNW[[#This Row],[Adj Close]])=5, 0, $F26-$F25)</f>
        <v>0.3199999999999994</v>
      </c>
      <c r="N26" s="46">
        <f>MAX(tbl_LLNW[[#This Row],[Move]],0)</f>
        <v>0.3199999999999994</v>
      </c>
      <c r="O26" s="46">
        <f>MAX(-tbl_LLNW[[#This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5.2142857142857109E-2</v>
      </c>
      <c r="Q26" s="46">
        <f ca="1">IF(ROW($O26)-5&lt;RSI_Periods, "", AVERAGE(INDIRECT(ADDRESS(ROW($O26)-RSI_Periods +1, MATCH("Downmove", Price_Header,0))): INDIRECT(ADDRESS(ROW($O26),MATCH("Downmove", Price_Header,0)))))</f>
        <v>0.10642857142857144</v>
      </c>
      <c r="R26" s="46">
        <f ca="1">IF(tbl_LLNW[[#This Row],[Avg_Upmove]]="", "", tbl_LLNW[[#This Row],[Avg_Upmove]]/tbl_LLNW[[#This Row],[Avg_Downmove]])</f>
        <v>0.48993288590603989</v>
      </c>
      <c r="S26" s="10">
        <f ca="1">IF(ROW($N26)-4&lt;BB_Periods, "", _xlfn.STDEV.S(INDIRECT(ADDRESS(ROW($F26)-RSI_Periods +1, MATCH("Adj Close", Price_Header,0))): INDIRECT(ADDRESS(ROW($F26),MATCH("Adj Close", Price_Header,0)))))</f>
        <v>0.39059056441622997</v>
      </c>
    </row>
    <row r="27" spans="1:19" x14ac:dyDescent="0.35">
      <c r="A27" s="8">
        <v>44084</v>
      </c>
      <c r="B27" s="10">
        <v>5.35</v>
      </c>
      <c r="C27" s="10">
        <v>5.54</v>
      </c>
      <c r="D27" s="10">
        <v>5.25</v>
      </c>
      <c r="E27" s="10">
        <v>5.33</v>
      </c>
      <c r="F27" s="10">
        <v>5.33</v>
      </c>
      <c r="G27">
        <v>2691800</v>
      </c>
      <c r="H27" s="10">
        <f>IF(tbl_LLNW[[#This Row],[Date]]=$A$5, $F27, EMA_Beta*$H26 + (1-EMA_Beta)*$F27)</f>
        <v>5.5944345173204884</v>
      </c>
      <c r="I27" s="46">
        <f ca="1">IF(tbl_LLNW[[#This Row],[RS]]= "", "", 100-(100/(1+tbl_LLNW[[#This Row],[RS]])))</f>
        <v>24.747474747474755</v>
      </c>
      <c r="J27" s="10">
        <f ca="1">IF(ROW($N27)-4&lt;BB_Periods, "", AVERAGE(INDIRECT(ADDRESS(ROW($F27)-RSI_Periods +1, MATCH("Adj Close", Price_Header,0))): INDIRECT(ADDRESS(ROW($F27),MATCH("Adj Close", Price_Header,0)))))</f>
        <v>5.5592857142857142</v>
      </c>
      <c r="K27" s="10">
        <f ca="1">IF(tbl_LLNW[[#This Row],[BB_Mean]]="", "", tbl_LLNW[[#This Row],[BB_Mean]]+(BB_Width*tbl_LLNW[[#This Row],[BB_Stdev]]))</f>
        <v>6.2416555344188822</v>
      </c>
      <c r="L27" s="10">
        <f ca="1">IF(tbl_LLNW[[#This Row],[BB_Mean]]="", "", tbl_LLNW[[#This Row],[BB_Mean]]-(BB_Width*tbl_LLNW[[#This Row],[BB_Stdev]]))</f>
        <v>4.8769158941525461</v>
      </c>
      <c r="M27" s="46">
        <f>IF(ROW(tbl_LLNW[[#This Row],[Adj Close]])=5, 0, $F27-$F26)</f>
        <v>2.0000000000000462E-2</v>
      </c>
      <c r="N27" s="46">
        <f>MAX(tbl_LLNW[[#This Row],[Move]],0)</f>
        <v>2.0000000000000462E-2</v>
      </c>
      <c r="O27" s="46">
        <f>MAX(-tbl_LLNW[[#This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3.5000000000000017E-2</v>
      </c>
      <c r="Q27" s="46">
        <f ca="1">IF(ROW($O27)-5&lt;RSI_Periods, "", AVERAGE(INDIRECT(ADDRESS(ROW($O27)-RSI_Periods +1, MATCH("Downmove", Price_Header,0))): INDIRECT(ADDRESS(ROW($O27),MATCH("Downmove", Price_Header,0)))))</f>
        <v>0.10642857142857144</v>
      </c>
      <c r="R27" s="46">
        <f ca="1">IF(tbl_LLNW[[#This Row],[Avg_Upmove]]="", "", tbl_LLNW[[#This Row],[Avg_Upmove]]/tbl_LLNW[[#This Row],[Avg_Downmove]])</f>
        <v>0.3288590604026847</v>
      </c>
      <c r="S27" s="10">
        <f ca="1">IF(ROW($N27)-4&lt;BB_Periods, "", _xlfn.STDEV.S(INDIRECT(ADDRESS(ROW($F27)-RSI_Periods +1, MATCH("Adj Close", Price_Header,0))): INDIRECT(ADDRESS(ROW($F27),MATCH("Adj Close", Price_Header,0)))))</f>
        <v>0.3411849100665838</v>
      </c>
    </row>
    <row r="28" spans="1:19" x14ac:dyDescent="0.35">
      <c r="A28" s="8">
        <v>44085</v>
      </c>
      <c r="B28" s="10">
        <v>5.38</v>
      </c>
      <c r="C28" s="10">
        <v>5.43</v>
      </c>
      <c r="D28" s="10">
        <v>4.9800000000000004</v>
      </c>
      <c r="E28" s="10">
        <v>5.15</v>
      </c>
      <c r="F28" s="10">
        <v>5.15</v>
      </c>
      <c r="G28">
        <v>2788400</v>
      </c>
      <c r="H28" s="10">
        <f>IF(tbl_LLNW[[#This Row],[Date]]=$A$5, $F28, EMA_Beta*$H27 + (1-EMA_Beta)*$F28)</f>
        <v>5.549991065588439</v>
      </c>
      <c r="I28" s="46">
        <f ca="1">IF(tbl_LLNW[[#This Row],[RS]]= "", "", 100-(100/(1+tbl_LLNW[[#This Row],[RS]])))</f>
        <v>26.203208556149747</v>
      </c>
      <c r="J28" s="10">
        <f ca="1">IF(ROW($N28)-4&lt;BB_Periods, "", AVERAGE(INDIRECT(ADDRESS(ROW($F28)-RSI_Periods +1, MATCH("Adj Close", Price_Header,0))): INDIRECT(ADDRESS(ROW($F28),MATCH("Adj Close", Price_Header,0)))))</f>
        <v>5.4957142857142856</v>
      </c>
      <c r="K28" s="10">
        <f ca="1">IF(tbl_LLNW[[#This Row],[BB_Mean]]="", "", tbl_LLNW[[#This Row],[BB_Mean]]+(BB_Width*tbl_LLNW[[#This Row],[BB_Stdev]]))</f>
        <v>6.1504350969455617</v>
      </c>
      <c r="L28" s="10">
        <f ca="1">IF(tbl_LLNW[[#This Row],[BB_Mean]]="", "", tbl_LLNW[[#This Row],[BB_Mean]]-(BB_Width*tbl_LLNW[[#This Row],[BB_Stdev]]))</f>
        <v>4.8409934744830094</v>
      </c>
      <c r="M28" s="46">
        <f>IF(ROW(tbl_LLNW[[#This Row],[Adj Close]])=5, 0, $F28-$F27)</f>
        <v>-0.17999999999999972</v>
      </c>
      <c r="N28" s="46">
        <f>MAX(tbl_LLNW[[#This Row],[Move]],0)</f>
        <v>0</v>
      </c>
      <c r="O28" s="46">
        <f>MAX(-tbl_LLNW[[#This Row],[Move]],0)</f>
        <v>0.17999999999999972</v>
      </c>
      <c r="P28" s="46">
        <f ca="1">IF(ROW($N28)-5&lt;RSI_Periods, "", AVERAGE(INDIRECT(ADDRESS(ROW($N28)-RSI_Periods +1, MATCH("Upmove", Price_Header,0))): INDIRECT(ADDRESS(ROW($N28),MATCH("Upmove", Price_Header,0)))))</f>
        <v>3.5000000000000017E-2</v>
      </c>
      <c r="Q28" s="46">
        <f ca="1">IF(ROW($O28)-5&lt;RSI_Periods, "", AVERAGE(INDIRECT(ADDRESS(ROW($O28)-RSI_Periods +1, MATCH("Downmove", Price_Header,0))): INDIRECT(ADDRESS(ROW($O28),MATCH("Downmove", Price_Header,0)))))</f>
        <v>9.857142857142856E-2</v>
      </c>
      <c r="R28" s="46">
        <f ca="1">IF(tbl_LLNW[[#This Row],[Avg_Upmove]]="", "", tbl_LLNW[[#This Row],[Avg_Upmove]]/tbl_LLNW[[#This Row],[Avg_Downmove]])</f>
        <v>0.35507246376811613</v>
      </c>
      <c r="S28" s="10">
        <f ca="1">IF(ROW($N28)-4&lt;BB_Periods, "", _xlfn.STDEV.S(INDIRECT(ADDRESS(ROW($F28)-RSI_Periods +1, MATCH("Adj Close", Price_Header,0))): INDIRECT(ADDRESS(ROW($F28),MATCH("Adj Close", Price_Header,0)))))</f>
        <v>0.32736040561563817</v>
      </c>
    </row>
    <row r="29" spans="1:19" x14ac:dyDescent="0.35">
      <c r="A29" s="8">
        <v>44088</v>
      </c>
      <c r="B29" s="10">
        <v>5.29</v>
      </c>
      <c r="C29" s="10">
        <v>5.4</v>
      </c>
      <c r="D29" s="10">
        <v>5.19</v>
      </c>
      <c r="E29" s="10">
        <v>5.31</v>
      </c>
      <c r="F29" s="10">
        <v>5.31</v>
      </c>
      <c r="G29">
        <v>3581300</v>
      </c>
      <c r="H29" s="10">
        <f>IF(tbl_LLNW[[#This Row],[Date]]=$A$5, $F29, EMA_Beta*$H28 + (1-EMA_Beta)*$F29)</f>
        <v>5.5259919590295947</v>
      </c>
      <c r="I29" s="46">
        <f ca="1">IF(tbl_LLNW[[#This Row],[RS]]= "", "", 100-(100/(1+tbl_LLNW[[#This Row],[RS]])))</f>
        <v>33.16326530612244</v>
      </c>
      <c r="J29" s="10">
        <f ca="1">IF(ROW($N29)-4&lt;BB_Periods, "", AVERAGE(INDIRECT(ADDRESS(ROW($F29)-RSI_Periods +1, MATCH("Adj Close", Price_Header,0))): INDIRECT(ADDRESS(ROW($F29),MATCH("Adj Close", Price_Header,0)))))</f>
        <v>5.4485714285714293</v>
      </c>
      <c r="K29" s="10">
        <f ca="1">IF(tbl_LLNW[[#This Row],[BB_Mean]]="", "", tbl_LLNW[[#This Row],[BB_Mean]]+(BB_Width*tbl_LLNW[[#This Row],[BB_Stdev]]))</f>
        <v>6.0489742237710491</v>
      </c>
      <c r="L29" s="10">
        <f ca="1">IF(tbl_LLNW[[#This Row],[BB_Mean]]="", "", tbl_LLNW[[#This Row],[BB_Mean]]-(BB_Width*tbl_LLNW[[#This Row],[BB_Stdev]]))</f>
        <v>4.8481686333718095</v>
      </c>
      <c r="M29" s="46">
        <f>IF(ROW(tbl_LLNW[[#This Row],[Adj Close]])=5, 0, $F29-$F28)</f>
        <v>0.15999999999999925</v>
      </c>
      <c r="N29" s="46">
        <f>MAX(tbl_LLNW[[#This Row],[Move]],0)</f>
        <v>0.15999999999999925</v>
      </c>
      <c r="O29" s="46">
        <f>MAX(-tbl_LLNW[[#This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4.6428571428571389E-2</v>
      </c>
      <c r="Q29" s="46">
        <f ca="1">IF(ROW($O29)-5&lt;RSI_Periods, "", AVERAGE(INDIRECT(ADDRESS(ROW($O29)-RSI_Periods +1, MATCH("Downmove", Price_Header,0))): INDIRECT(ADDRESS(ROW($O29),MATCH("Downmove", Price_Header,0)))))</f>
        <v>9.3571428571428542E-2</v>
      </c>
      <c r="R29" s="46">
        <f ca="1">IF(tbl_LLNW[[#This Row],[Avg_Upmove]]="", "", tbl_LLNW[[#This Row],[Avg_Upmove]]/tbl_LLNW[[#This Row],[Avg_Downmove]])</f>
        <v>0.49618320610686995</v>
      </c>
      <c r="S29" s="10">
        <f ca="1">IF(ROW($N29)-4&lt;BB_Periods, "", _xlfn.STDEV.S(INDIRECT(ADDRESS(ROW($F29)-RSI_Periods +1, MATCH("Adj Close", Price_Header,0))): INDIRECT(ADDRESS(ROW($F29),MATCH("Adj Close", Price_Header,0)))))</f>
        <v>0.30020139759980985</v>
      </c>
    </row>
    <row r="30" spans="1:19" x14ac:dyDescent="0.35">
      <c r="A30" s="8">
        <v>44089</v>
      </c>
      <c r="B30" s="10">
        <v>5.4</v>
      </c>
      <c r="C30" s="10">
        <v>5.47</v>
      </c>
      <c r="D30" s="10">
        <v>5.34</v>
      </c>
      <c r="E30" s="10">
        <v>5.4</v>
      </c>
      <c r="F30" s="10">
        <v>5.4</v>
      </c>
      <c r="G30">
        <v>3242300</v>
      </c>
      <c r="H30" s="10">
        <f>IF(tbl_LLNW[[#This Row],[Date]]=$A$5, $F30, EMA_Beta*$H29 + (1-EMA_Beta)*$F30)</f>
        <v>5.5133927631266353</v>
      </c>
      <c r="I30" s="46">
        <f ca="1">IF(tbl_LLNW[[#This Row],[RS]]= "", "", 100-(100/(1+tbl_LLNW[[#This Row],[RS]])))</f>
        <v>37.755102040816347</v>
      </c>
      <c r="J30" s="10">
        <f ca="1">IF(ROW($N30)-4&lt;BB_Periods, "", AVERAGE(INDIRECT(ADDRESS(ROW($F30)-RSI_Periods +1, MATCH("Adj Close", Price_Header,0))): INDIRECT(ADDRESS(ROW($F30),MATCH("Adj Close", Price_Header,0)))))</f>
        <v>5.4142857142857155</v>
      </c>
      <c r="K30" s="10">
        <f ca="1">IF(tbl_LLNW[[#This Row],[BB_Mean]]="", "", tbl_LLNW[[#This Row],[BB_Mean]]+(BB_Width*tbl_LLNW[[#This Row],[BB_Stdev]]))</f>
        <v>5.9609800761321914</v>
      </c>
      <c r="L30" s="10">
        <f ca="1">IF(tbl_LLNW[[#This Row],[BB_Mean]]="", "", tbl_LLNW[[#This Row],[BB_Mean]]-(BB_Width*tbl_LLNW[[#This Row],[BB_Stdev]]))</f>
        <v>4.8675913524392396</v>
      </c>
      <c r="M30" s="46">
        <f>IF(ROW(tbl_LLNW[[#This Row],[Adj Close]])=5, 0, $F30-$F29)</f>
        <v>9.0000000000000746E-2</v>
      </c>
      <c r="N30" s="46">
        <f>MAX(tbl_LLNW[[#This Row],[Move]],0)</f>
        <v>9.0000000000000746E-2</v>
      </c>
      <c r="O30" s="46">
        <f>MAX(-tbl_LLNW[[#This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5.2857142857142873E-2</v>
      </c>
      <c r="Q30" s="46">
        <f ca="1">IF(ROW($O30)-5&lt;RSI_Periods, "", AVERAGE(INDIRECT(ADDRESS(ROW($O30)-RSI_Periods +1, MATCH("Downmove", Price_Header,0))): INDIRECT(ADDRESS(ROW($O30),MATCH("Downmove", Price_Header,0)))))</f>
        <v>8.7142857142857119E-2</v>
      </c>
      <c r="R30" s="46">
        <f ca="1">IF(tbl_LLNW[[#This Row],[Avg_Upmove]]="", "", tbl_LLNW[[#This Row],[Avg_Upmove]]/tbl_LLNW[[#This Row],[Avg_Downmove]])</f>
        <v>0.60655737704918067</v>
      </c>
      <c r="S30" s="10">
        <f ca="1">IF(ROW($N30)-4&lt;BB_Periods, "", _xlfn.STDEV.S(INDIRECT(ADDRESS(ROW($F30)-RSI_Periods +1, MATCH("Adj Close", Price_Header,0))): INDIRECT(ADDRESS(ROW($F30),MATCH("Adj Close", Price_Header,0)))))</f>
        <v>0.27334718092323779</v>
      </c>
    </row>
    <row r="31" spans="1:19" x14ac:dyDescent="0.35">
      <c r="A31" s="8">
        <v>44090</v>
      </c>
      <c r="B31" s="10">
        <v>5.48</v>
      </c>
      <c r="C31" s="10">
        <v>5.81</v>
      </c>
      <c r="D31" s="10">
        <v>5.48</v>
      </c>
      <c r="E31" s="10">
        <v>5.71</v>
      </c>
      <c r="F31" s="10">
        <v>5.71</v>
      </c>
      <c r="G31">
        <v>3552500</v>
      </c>
      <c r="H31" s="10">
        <f>IF(tbl_LLNW[[#This Row],[Date]]=$A$5, $F31, EMA_Beta*$H30 + (1-EMA_Beta)*$F31)</f>
        <v>5.533053486813972</v>
      </c>
      <c r="I31" s="46">
        <f ca="1">IF(tbl_LLNW[[#This Row],[RS]]= "", "", 100-(100/(1+tbl_LLNW[[#This Row],[RS]])))</f>
        <v>46.875000000000007</v>
      </c>
      <c r="J31" s="10">
        <f ca="1">IF(ROW($N31)-4&lt;BB_Periods, "", AVERAGE(INDIRECT(ADDRESS(ROW($F31)-RSI_Periods +1, MATCH("Adj Close", Price_Header,0))): INDIRECT(ADDRESS(ROW($F31),MATCH("Adj Close", Price_Header,0)))))</f>
        <v>5.4042857142857139</v>
      </c>
      <c r="K31" s="10">
        <f ca="1">IF(tbl_LLNW[[#This Row],[BB_Mean]]="", "", tbl_LLNW[[#This Row],[BB_Mean]]+(BB_Width*tbl_LLNW[[#This Row],[BB_Stdev]]))</f>
        <v>5.9209444640773574</v>
      </c>
      <c r="L31" s="10">
        <f ca="1">IF(tbl_LLNW[[#This Row],[BB_Mean]]="", "", tbl_LLNW[[#This Row],[BB_Mean]]-(BB_Width*tbl_LLNW[[#This Row],[BB_Stdev]]))</f>
        <v>4.8876269644940704</v>
      </c>
      <c r="M31" s="46">
        <f>IF(ROW(tbl_LLNW[[#This Row],[Adj Close]])=5, 0, $F31-$F30)</f>
        <v>0.30999999999999961</v>
      </c>
      <c r="N31" s="46">
        <f>MAX(tbl_LLNW[[#This Row],[Move]],0)</f>
        <v>0.30999999999999961</v>
      </c>
      <c r="O31" s="46">
        <f>MAX(-tbl_LLNW[[#This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7.4999999999999983E-2</v>
      </c>
      <c r="Q31" s="46">
        <f ca="1">IF(ROW($O31)-5&lt;RSI_Periods, "", AVERAGE(INDIRECT(ADDRESS(ROW($O31)-RSI_Periods +1, MATCH("Downmove", Price_Header,0))): INDIRECT(ADDRESS(ROW($O31),MATCH("Downmove", Price_Header,0)))))</f>
        <v>8.4999999999999964E-2</v>
      </c>
      <c r="R31" s="46">
        <f ca="1">IF(tbl_LLNW[[#This Row],[Avg_Upmove]]="", "", tbl_LLNW[[#This Row],[Avg_Upmove]]/tbl_LLNW[[#This Row],[Avg_Downmove]])</f>
        <v>0.88235294117647078</v>
      </c>
      <c r="S31" s="10">
        <f ca="1">IF(ROW($N31)-4&lt;BB_Periods, "", _xlfn.STDEV.S(INDIRECT(ADDRESS(ROW($F31)-RSI_Periods +1, MATCH("Adj Close", Price_Header,0))): INDIRECT(ADDRESS(ROW($F31),MATCH("Adj Close", Price_Header,0)))))</f>
        <v>0.25832937489582158</v>
      </c>
    </row>
    <row r="32" spans="1:19" x14ac:dyDescent="0.35">
      <c r="A32" s="8">
        <v>44091</v>
      </c>
      <c r="B32" s="10">
        <v>5.55</v>
      </c>
      <c r="C32" s="10">
        <v>5.88</v>
      </c>
      <c r="D32" s="10">
        <v>5.55</v>
      </c>
      <c r="E32" s="10">
        <v>5.85</v>
      </c>
      <c r="F32" s="10">
        <v>5.85</v>
      </c>
      <c r="G32">
        <v>3310900</v>
      </c>
      <c r="H32" s="10">
        <f>IF(tbl_LLNW[[#This Row],[Date]]=$A$5, $F32, EMA_Beta*$H31 + (1-EMA_Beta)*$F32)</f>
        <v>5.5647481381325745</v>
      </c>
      <c r="I32" s="46">
        <f ca="1">IF(tbl_LLNW[[#This Row],[RS]]= "", "", 100-(100/(1+tbl_LLNW[[#This Row],[RS]])))</f>
        <v>55.092592592592595</v>
      </c>
      <c r="J32" s="10">
        <f ca="1">IF(ROW($N32)-4&lt;BB_Periods, "", AVERAGE(INDIRECT(ADDRESS(ROW($F32)-RSI_Periods +1, MATCH("Adj Close", Price_Header,0))): INDIRECT(ADDRESS(ROW($F32),MATCH("Adj Close", Price_Header,0)))))</f>
        <v>5.42</v>
      </c>
      <c r="K32" s="10">
        <f ca="1">IF(tbl_LLNW[[#This Row],[BB_Mean]]="", "", tbl_LLNW[[#This Row],[BB_Mean]]+(BB_Width*tbl_LLNW[[#This Row],[BB_Stdev]]))</f>
        <v>5.9779633293712742</v>
      </c>
      <c r="L32" s="10">
        <f ca="1">IF(tbl_LLNW[[#This Row],[BB_Mean]]="", "", tbl_LLNW[[#This Row],[BB_Mean]]-(BB_Width*tbl_LLNW[[#This Row],[BB_Stdev]]))</f>
        <v>4.8620366706287257</v>
      </c>
      <c r="M32" s="46">
        <f>IF(ROW(tbl_LLNW[[#This Row],[Adj Close]])=5, 0, $F32-$F31)</f>
        <v>0.13999999999999968</v>
      </c>
      <c r="N32" s="46">
        <f>MAX(tbl_LLNW[[#This Row],[Move]],0)</f>
        <v>0.13999999999999968</v>
      </c>
      <c r="O32" s="46">
        <f>MAX(-tbl_LLNW[[#This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8.4999999999999964E-2</v>
      </c>
      <c r="Q32" s="46">
        <f ca="1">IF(ROW($O32)-5&lt;RSI_Periods, "", AVERAGE(INDIRECT(ADDRESS(ROW($O32)-RSI_Periods +1, MATCH("Downmove", Price_Header,0))): INDIRECT(ADDRESS(ROW($O32),MATCH("Downmove", Price_Header,0)))))</f>
        <v>6.928571428571427E-2</v>
      </c>
      <c r="R32" s="46">
        <f ca="1">IF(tbl_LLNW[[#This Row],[Avg_Upmove]]="", "", tbl_LLNW[[#This Row],[Avg_Upmove]]/tbl_LLNW[[#This Row],[Avg_Downmove]])</f>
        <v>1.2268041237113401</v>
      </c>
      <c r="S32" s="10">
        <f ca="1">IF(ROW($N32)-4&lt;BB_Periods, "", _xlfn.STDEV.S(INDIRECT(ADDRESS(ROW($F32)-RSI_Periods +1, MATCH("Adj Close", Price_Header,0))): INDIRECT(ADDRESS(ROW($F32),MATCH("Adj Close", Price_Header,0)))))</f>
        <v>0.27898166468563707</v>
      </c>
    </row>
    <row r="33" spans="1:19" x14ac:dyDescent="0.35">
      <c r="A33" s="8">
        <v>44092</v>
      </c>
      <c r="B33" s="10">
        <v>6.03</v>
      </c>
      <c r="C33" s="10">
        <v>6.44</v>
      </c>
      <c r="D33" s="10">
        <v>5.89</v>
      </c>
      <c r="E33" s="10">
        <v>6.39</v>
      </c>
      <c r="F33" s="10">
        <v>6.39</v>
      </c>
      <c r="G33">
        <v>6081900</v>
      </c>
      <c r="H33" s="10">
        <f>IF(tbl_LLNW[[#This Row],[Date]]=$A$5, $F33, EMA_Beta*$H32 + (1-EMA_Beta)*$F33)</f>
        <v>5.6472733243193165</v>
      </c>
      <c r="I33" s="46">
        <f ca="1">IF(tbl_LLNW[[#This Row],[RS]]= "", "", 100-(100/(1+tbl_LLNW[[#This Row],[RS]])))</f>
        <v>63.117870722433459</v>
      </c>
      <c r="J33" s="10">
        <f ca="1">IF(ROW($N33)-4&lt;BB_Periods, "", AVERAGE(INDIRECT(ADDRESS(ROW($F33)-RSI_Periods +1, MATCH("Adj Close", Price_Header,0))): INDIRECT(ADDRESS(ROW($F33),MATCH("Adj Close", Price_Header,0)))))</f>
        <v>5.4692857142857134</v>
      </c>
      <c r="K33" s="10">
        <f ca="1">IF(tbl_LLNW[[#This Row],[BB_Mean]]="", "", tbl_LLNW[[#This Row],[BB_Mean]]+(BB_Width*tbl_LLNW[[#This Row],[BB_Stdev]]))</f>
        <v>6.2217775454998172</v>
      </c>
      <c r="L33" s="10">
        <f ca="1">IF(tbl_LLNW[[#This Row],[BB_Mean]]="", "", tbl_LLNW[[#This Row],[BB_Mean]]-(BB_Width*tbl_LLNW[[#This Row],[BB_Stdev]]))</f>
        <v>4.7167938830716096</v>
      </c>
      <c r="M33" s="46">
        <f>IF(ROW(tbl_LLNW[[#This Row],[Adj Close]])=5, 0, $F33-$F32)</f>
        <v>0.54</v>
      </c>
      <c r="N33" s="46">
        <f>MAX(tbl_LLNW[[#This Row],[Move]],0)</f>
        <v>0.54</v>
      </c>
      <c r="O33" s="46">
        <f>MAX(-tbl_LLNW[[#This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0.11857142857142852</v>
      </c>
      <c r="Q33" s="46">
        <f ca="1">IF(ROW($O33)-5&lt;RSI_Periods, "", AVERAGE(INDIRECT(ADDRESS(ROW($O33)-RSI_Periods +1, MATCH("Downmove", Price_Header,0))): INDIRECT(ADDRESS(ROW($O33),MATCH("Downmove", Price_Header,0)))))</f>
        <v>6.928571428571427E-2</v>
      </c>
      <c r="R33" s="46">
        <f ca="1">IF(tbl_LLNW[[#This Row],[Avg_Upmove]]="", "", tbl_LLNW[[#This Row],[Avg_Upmove]]/tbl_LLNW[[#This Row],[Avg_Downmove]])</f>
        <v>1.7113402061855667</v>
      </c>
      <c r="S33" s="10">
        <f ca="1">IF(ROW($N33)-4&lt;BB_Periods, "", _xlfn.STDEV.S(INDIRECT(ADDRESS(ROW($F33)-RSI_Periods +1, MATCH("Adj Close", Price_Header,0))): INDIRECT(ADDRESS(ROW($F33),MATCH("Adj Close", Price_Header,0)))))</f>
        <v>0.37624591560705206</v>
      </c>
    </row>
    <row r="34" spans="1:19" x14ac:dyDescent="0.35">
      <c r="A34" s="8">
        <v>44095</v>
      </c>
      <c r="B34" s="10">
        <v>6.33</v>
      </c>
      <c r="C34" s="10">
        <v>6.48</v>
      </c>
      <c r="D34" s="10">
        <v>6.21</v>
      </c>
      <c r="E34" s="10">
        <v>6.33</v>
      </c>
      <c r="F34" s="10">
        <v>6.33</v>
      </c>
      <c r="G34">
        <v>3069100</v>
      </c>
      <c r="H34" s="10">
        <f>IF(tbl_LLNW[[#This Row],[Date]]=$A$5, $F34, EMA_Beta*$H33 + (1-EMA_Beta)*$F34)</f>
        <v>5.7155459918873852</v>
      </c>
      <c r="I34" s="46">
        <f ca="1">IF(tbl_LLNW[[#This Row],[RS]]= "", "", 100-(100/(1+tbl_LLNW[[#This Row],[RS]])))</f>
        <v>62.406015037593995</v>
      </c>
      <c r="J34" s="10">
        <f ca="1">IF(ROW($N34)-4&lt;BB_Periods, "", AVERAGE(INDIRECT(ADDRESS(ROW($F34)-RSI_Periods +1, MATCH("Adj Close", Price_Header,0))): INDIRECT(ADDRESS(ROW($F34),MATCH("Adj Close", Price_Header,0)))))</f>
        <v>5.5164285714285706</v>
      </c>
      <c r="K34" s="10">
        <f ca="1">IF(tbl_LLNW[[#This Row],[BB_Mean]]="", "", tbl_LLNW[[#This Row],[BB_Mean]]+(BB_Width*tbl_LLNW[[#This Row],[BB_Stdev]]))</f>
        <v>6.3951901875805151</v>
      </c>
      <c r="L34" s="10">
        <f ca="1">IF(tbl_LLNW[[#This Row],[BB_Mean]]="", "", tbl_LLNW[[#This Row],[BB_Mean]]-(BB_Width*tbl_LLNW[[#This Row],[BB_Stdev]]))</f>
        <v>4.6376669552766261</v>
      </c>
      <c r="M34" s="46">
        <f>IF(ROW(tbl_LLNW[[#This Row],[Adj Close]])=5, 0, $F34-$F33)</f>
        <v>-5.9999999999999609E-2</v>
      </c>
      <c r="N34" s="46">
        <f>MAX(tbl_LLNW[[#This Row],[Move]],0)</f>
        <v>0</v>
      </c>
      <c r="O34" s="46">
        <f>MAX(-tbl_LLNW[[#This Row],[Move]],0)</f>
        <v>5.9999999999999609E-2</v>
      </c>
      <c r="P34" s="46">
        <f ca="1">IF(ROW($N34)-5&lt;RSI_Periods, "", AVERAGE(INDIRECT(ADDRESS(ROW($N34)-RSI_Periods +1, MATCH("Upmove", Price_Header,0))): INDIRECT(ADDRESS(ROW($N34),MATCH("Upmove", Price_Header,0)))))</f>
        <v>0.11857142857142852</v>
      </c>
      <c r="Q34" s="46">
        <f ca="1">IF(ROW($O34)-5&lt;RSI_Periods, "", AVERAGE(INDIRECT(ADDRESS(ROW($O34)-RSI_Periods +1, MATCH("Downmove", Price_Header,0))): INDIRECT(ADDRESS(ROW($O34),MATCH("Downmove", Price_Header,0)))))</f>
        <v>7.1428571428571369E-2</v>
      </c>
      <c r="R34" s="46">
        <f ca="1">IF(tbl_LLNW[[#This Row],[Avg_Upmove]]="", "", tbl_LLNW[[#This Row],[Avg_Upmove]]/tbl_LLNW[[#This Row],[Avg_Downmove]])</f>
        <v>1.6600000000000006</v>
      </c>
      <c r="S34" s="10">
        <f ca="1">IF(ROW($N34)-4&lt;BB_Periods, "", _xlfn.STDEV.S(INDIRECT(ADDRESS(ROW($F34)-RSI_Periods +1, MATCH("Adj Close", Price_Header,0))): INDIRECT(ADDRESS(ROW($F34),MATCH("Adj Close", Price_Header,0)))))</f>
        <v>0.43938080807597235</v>
      </c>
    </row>
    <row r="35" spans="1:19" x14ac:dyDescent="0.35">
      <c r="A35" s="8">
        <v>44096</v>
      </c>
      <c r="B35" s="10">
        <v>6.33</v>
      </c>
      <c r="C35" s="10">
        <v>6.4</v>
      </c>
      <c r="D35" s="10">
        <v>6.06</v>
      </c>
      <c r="E35" s="10">
        <v>6.35</v>
      </c>
      <c r="F35" s="10">
        <v>6.35</v>
      </c>
      <c r="G35">
        <v>2799800</v>
      </c>
      <c r="H35" s="10">
        <f>IF(tbl_LLNW[[#This Row],[Date]]=$A$5, $F35, EMA_Beta*$H34 + (1-EMA_Beta)*$F35)</f>
        <v>5.7789913926986465</v>
      </c>
      <c r="I35" s="46">
        <f ca="1">IF(tbl_LLNW[[#This Row],[RS]]= "", "", 100-(100/(1+tbl_LLNW[[#This Row],[RS]])))</f>
        <v>61.53846153846154</v>
      </c>
      <c r="J35" s="10">
        <f ca="1">IF(ROW($N35)-4&lt;BB_Periods, "", AVERAGE(INDIRECT(ADDRESS(ROW($F35)-RSI_Periods +1, MATCH("Adj Close", Price_Header,0))): INDIRECT(ADDRESS(ROW($F35),MATCH("Adj Close", Price_Header,0)))))</f>
        <v>5.5592857142857133</v>
      </c>
      <c r="K35" s="10">
        <f ca="1">IF(tbl_LLNW[[#This Row],[BB_Mean]]="", "", tbl_LLNW[[#This Row],[BB_Mean]]+(BB_Width*tbl_LLNW[[#This Row],[BB_Stdev]]))</f>
        <v>6.5397554380002596</v>
      </c>
      <c r="L35" s="10">
        <f ca="1">IF(tbl_LLNW[[#This Row],[BB_Mean]]="", "", tbl_LLNW[[#This Row],[BB_Mean]]-(BB_Width*tbl_LLNW[[#This Row],[BB_Stdev]]))</f>
        <v>4.5788159905711669</v>
      </c>
      <c r="M35" s="46">
        <f>IF(ROW(tbl_LLNW[[#This Row],[Adj Close]])=5, 0, $F35-$F34)</f>
        <v>1.9999999999999574E-2</v>
      </c>
      <c r="N35" s="46">
        <f>MAX(tbl_LLNW[[#This Row],[Move]],0)</f>
        <v>1.9999999999999574E-2</v>
      </c>
      <c r="O35" s="46">
        <f>MAX(-tbl_LLNW[[#This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0.1142857142857142</v>
      </c>
      <c r="Q35" s="46">
        <f ca="1">IF(ROW($O35)-5&lt;RSI_Periods, "", AVERAGE(INDIRECT(ADDRESS(ROW($O35)-RSI_Periods +1, MATCH("Downmove", Price_Header,0))): INDIRECT(ADDRESS(ROW($O35),MATCH("Downmove", Price_Header,0)))))</f>
        <v>7.1428571428571369E-2</v>
      </c>
      <c r="R35" s="46">
        <f ca="1">IF(tbl_LLNW[[#This Row],[Avg_Upmove]]="", "", tbl_LLNW[[#This Row],[Avg_Upmove]]/tbl_LLNW[[#This Row],[Avg_Downmove]])</f>
        <v>1.6</v>
      </c>
      <c r="S35" s="10">
        <f ca="1">IF(ROW($N35)-4&lt;BB_Periods, "", _xlfn.STDEV.S(INDIRECT(ADDRESS(ROW($F35)-RSI_Periods +1, MATCH("Adj Close", Price_Header,0))): INDIRECT(ADDRESS(ROW($F35),MATCH("Adj Close", Price_Header,0)))))</f>
        <v>0.49023486185727316</v>
      </c>
    </row>
    <row r="36" spans="1:19" x14ac:dyDescent="0.35">
      <c r="A36" s="8">
        <v>44097</v>
      </c>
      <c r="B36" s="10">
        <v>6.32</v>
      </c>
      <c r="C36" s="10">
        <v>6.33</v>
      </c>
      <c r="D36" s="10">
        <v>5.78</v>
      </c>
      <c r="E36" s="10">
        <v>5.88</v>
      </c>
      <c r="F36" s="10">
        <v>5.88</v>
      </c>
      <c r="G36">
        <v>3129900</v>
      </c>
      <c r="H36" s="10">
        <f>IF(tbl_LLNW[[#This Row],[Date]]=$A$5, $F36, EMA_Beta*$H35 + (1-EMA_Beta)*$F36)</f>
        <v>5.7890922534287821</v>
      </c>
      <c r="I36" s="46">
        <f ca="1">IF(tbl_LLNW[[#This Row],[RS]]= "", "", 100-(100/(1+tbl_LLNW[[#This Row],[RS]])))</f>
        <v>57.347670250896066</v>
      </c>
      <c r="J36" s="10">
        <f ca="1">IF(ROW($N36)-4&lt;BB_Periods, "", AVERAGE(INDIRECT(ADDRESS(ROW($F36)-RSI_Periods +1, MATCH("Adj Close", Price_Header,0))): INDIRECT(ADDRESS(ROW($F36),MATCH("Adj Close", Price_Header,0)))))</f>
        <v>5.5885714285714281</v>
      </c>
      <c r="K36" s="10">
        <f ca="1">IF(tbl_LLNW[[#This Row],[BB_Mean]]="", "", tbl_LLNW[[#This Row],[BB_Mean]]+(BB_Width*tbl_LLNW[[#This Row],[BB_Stdev]]))</f>
        <v>6.5819605658293199</v>
      </c>
      <c r="L36" s="10">
        <f ca="1">IF(tbl_LLNW[[#This Row],[BB_Mean]]="", "", tbl_LLNW[[#This Row],[BB_Mean]]-(BB_Width*tbl_LLNW[[#This Row],[BB_Stdev]]))</f>
        <v>4.5951822913135363</v>
      </c>
      <c r="M36" s="46">
        <f>IF(ROW(tbl_LLNW[[#This Row],[Adj Close]])=5, 0, $F36-$F35)</f>
        <v>-0.46999999999999975</v>
      </c>
      <c r="N36" s="46">
        <f>MAX(tbl_LLNW[[#This Row],[Move]],0)</f>
        <v>0</v>
      </c>
      <c r="O36" s="46">
        <f>MAX(-tbl_LLNW[[#This Row],[Move]],0)</f>
        <v>0.46999999999999975</v>
      </c>
      <c r="P36" s="46">
        <f ca="1">IF(ROW($N36)-5&lt;RSI_Periods, "", AVERAGE(INDIRECT(ADDRESS(ROW($N36)-RSI_Periods +1, MATCH("Upmove", Price_Header,0))): INDIRECT(ADDRESS(ROW($N36),MATCH("Upmove", Price_Header,0)))))</f>
        <v>0.1142857142857142</v>
      </c>
      <c r="Q36" s="46">
        <f ca="1">IF(ROW($O36)-5&lt;RSI_Periods, "", AVERAGE(INDIRECT(ADDRESS(ROW($O36)-RSI_Periods +1, MATCH("Downmove", Price_Header,0))): INDIRECT(ADDRESS(ROW($O36),MATCH("Downmove", Price_Header,0)))))</f>
        <v>8.4999999999999895E-2</v>
      </c>
      <c r="R36" s="46">
        <f ca="1">IF(tbl_LLNW[[#This Row],[Avg_Upmove]]="", "", tbl_LLNW[[#This Row],[Avg_Upmove]]/tbl_LLNW[[#This Row],[Avg_Downmove]])</f>
        <v>1.344537815126051</v>
      </c>
      <c r="S36" s="10">
        <f ca="1">IF(ROW($N36)-4&lt;BB_Periods, "", _xlfn.STDEV.S(INDIRECT(ADDRESS(ROW($F36)-RSI_Periods +1, MATCH("Adj Close", Price_Header,0))): INDIRECT(ADDRESS(ROW($F36),MATCH("Adj Close", Price_Header,0)))))</f>
        <v>0.49669456862894568</v>
      </c>
    </row>
    <row r="37" spans="1:19" x14ac:dyDescent="0.35">
      <c r="A37" s="8">
        <v>44098</v>
      </c>
      <c r="B37" s="10">
        <v>5.83</v>
      </c>
      <c r="C37" s="10">
        <v>5.95</v>
      </c>
      <c r="D37" s="10">
        <v>5.63</v>
      </c>
      <c r="E37" s="10">
        <v>5.68</v>
      </c>
      <c r="F37" s="10">
        <v>5.68</v>
      </c>
      <c r="G37">
        <v>3773200</v>
      </c>
      <c r="H37" s="10">
        <f>IF(tbl_LLNW[[#This Row],[Date]]=$A$5, $F37, EMA_Beta*$H36 + (1-EMA_Beta)*$F37)</f>
        <v>5.7781830280859037</v>
      </c>
      <c r="I37" s="46">
        <f ca="1">IF(tbl_LLNW[[#This Row],[RS]]= "", "", 100-(100/(1+tbl_LLNW[[#This Row],[RS]])))</f>
        <v>58.39416058394162</v>
      </c>
      <c r="J37" s="10">
        <f ca="1">IF(ROW($N37)-4&lt;BB_Periods, "", AVERAGE(INDIRECT(ADDRESS(ROW($F37)-RSI_Periods +1, MATCH("Adj Close", Price_Header,0))): INDIRECT(ADDRESS(ROW($F37),MATCH("Adj Close", Price_Header,0)))))</f>
        <v>5.621428571428571</v>
      </c>
      <c r="K37" s="10">
        <f ca="1">IF(tbl_LLNW[[#This Row],[BB_Mean]]="", "", tbl_LLNW[[#This Row],[BB_Mean]]+(BB_Width*tbl_LLNW[[#This Row],[BB_Stdev]]))</f>
        <v>6.5924821512814313</v>
      </c>
      <c r="L37" s="10">
        <f ca="1">IF(tbl_LLNW[[#This Row],[BB_Mean]]="", "", tbl_LLNW[[#This Row],[BB_Mean]]-(BB_Width*tbl_LLNW[[#This Row],[BB_Stdev]]))</f>
        <v>4.6503749915757107</v>
      </c>
      <c r="M37" s="46">
        <f>IF(ROW(tbl_LLNW[[#This Row],[Adj Close]])=5, 0, $F37-$F36)</f>
        <v>-0.20000000000000018</v>
      </c>
      <c r="N37" s="46">
        <f>MAX(tbl_LLNW[[#This Row],[Move]],0)</f>
        <v>0</v>
      </c>
      <c r="O37" s="46">
        <f>MAX(-tbl_LLNW[[#This Row],[Move]],0)</f>
        <v>0.20000000000000018</v>
      </c>
      <c r="P37" s="46">
        <f ca="1">IF(ROW($N37)-5&lt;RSI_Periods, "", AVERAGE(INDIRECT(ADDRESS(ROW($N37)-RSI_Periods +1, MATCH("Upmove", Price_Header,0))): INDIRECT(ADDRESS(ROW($N37),MATCH("Upmove", Price_Header,0)))))</f>
        <v>0.1142857142857142</v>
      </c>
      <c r="Q37" s="46">
        <f ca="1">IF(ROW($O37)-5&lt;RSI_Periods, "", AVERAGE(INDIRECT(ADDRESS(ROW($O37)-RSI_Periods +1, MATCH("Downmove", Price_Header,0))): INDIRECT(ADDRESS(ROW($O37),MATCH("Downmove", Price_Header,0)))))</f>
        <v>8.1428571428571336E-2</v>
      </c>
      <c r="R37" s="46">
        <f ca="1">IF(tbl_LLNW[[#This Row],[Avg_Upmove]]="", "", tbl_LLNW[[#This Row],[Avg_Upmove]]/tbl_LLNW[[#This Row],[Avg_Downmove]])</f>
        <v>1.4035087719298251</v>
      </c>
      <c r="S37" s="10">
        <f ca="1">IF(ROW($N37)-4&lt;BB_Periods, "", _xlfn.STDEV.S(INDIRECT(ADDRESS(ROW($F37)-RSI_Periods +1, MATCH("Adj Close", Price_Header,0))): INDIRECT(ADDRESS(ROW($F37),MATCH("Adj Close", Price_Header,0)))))</f>
        <v>0.48552678992643</v>
      </c>
    </row>
    <row r="38" spans="1:19" x14ac:dyDescent="0.35">
      <c r="A38" s="8">
        <v>44099</v>
      </c>
      <c r="B38" s="10">
        <v>5.71</v>
      </c>
      <c r="C38" s="10">
        <v>5.84</v>
      </c>
      <c r="D38" s="10">
        <v>5.62</v>
      </c>
      <c r="E38" s="10">
        <v>5.78</v>
      </c>
      <c r="F38" s="10">
        <v>5.78</v>
      </c>
      <c r="G38">
        <v>1690700</v>
      </c>
      <c r="H38" s="10">
        <f>IF(tbl_LLNW[[#This Row],[Date]]=$A$5, $F38, EMA_Beta*$H37 + (1-EMA_Beta)*$F38)</f>
        <v>5.7783647252773136</v>
      </c>
      <c r="I38" s="46">
        <f ca="1">IF(tbl_LLNW[[#This Row],[RS]]= "", "", 100-(100/(1+tbl_LLNW[[#This Row],[RS]])))</f>
        <v>64.393939393939419</v>
      </c>
      <c r="J38" s="10">
        <f ca="1">IF(ROW($N38)-4&lt;BB_Periods, "", AVERAGE(INDIRECT(ADDRESS(ROW($F38)-RSI_Periods +1, MATCH("Adj Close", Price_Header,0))): INDIRECT(ADDRESS(ROW($F38),MATCH("Adj Close", Price_Header,0)))))</f>
        <v>5.6757142857142862</v>
      </c>
      <c r="K38" s="10">
        <f ca="1">IF(tbl_LLNW[[#This Row],[BB_Mean]]="", "", tbl_LLNW[[#This Row],[BB_Mean]]+(BB_Width*tbl_LLNW[[#This Row],[BB_Stdev]]))</f>
        <v>6.5849392908093449</v>
      </c>
      <c r="L38" s="10">
        <f ca="1">IF(tbl_LLNW[[#This Row],[BB_Mean]]="", "", tbl_LLNW[[#This Row],[BB_Mean]]-(BB_Width*tbl_LLNW[[#This Row],[BB_Stdev]]))</f>
        <v>4.7664892806192274</v>
      </c>
      <c r="M38" s="46">
        <f>IF(ROW(tbl_LLNW[[#This Row],[Adj Close]])=5, 0, $F38-$F37)</f>
        <v>0.10000000000000053</v>
      </c>
      <c r="N38" s="46">
        <f>MAX(tbl_LLNW[[#This Row],[Move]],0)</f>
        <v>0.10000000000000053</v>
      </c>
      <c r="O38" s="46">
        <f>MAX(-tbl_LLNW[[#This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0.12142857142857137</v>
      </c>
      <c r="Q38" s="46">
        <f ca="1">IF(ROW($O38)-5&lt;RSI_Periods, "", AVERAGE(INDIRECT(ADDRESS(ROW($O38)-RSI_Periods +1, MATCH("Downmove", Price_Header,0))): INDIRECT(ADDRESS(ROW($O38),MATCH("Downmove", Price_Header,0)))))</f>
        <v>6.7142857142857046E-2</v>
      </c>
      <c r="R38" s="46">
        <f ca="1">IF(tbl_LLNW[[#This Row],[Avg_Upmove]]="", "", tbl_LLNW[[#This Row],[Avg_Upmove]]/tbl_LLNW[[#This Row],[Avg_Downmove]])</f>
        <v>1.8085106382978742</v>
      </c>
      <c r="S38" s="10">
        <f ca="1">IF(ROW($N38)-4&lt;BB_Periods, "", _xlfn.STDEV.S(INDIRECT(ADDRESS(ROW($F38)-RSI_Periods +1, MATCH("Adj Close", Price_Header,0))): INDIRECT(ADDRESS(ROW($F38),MATCH("Adj Close", Price_Header,0)))))</f>
        <v>0.45461250254752933</v>
      </c>
    </row>
    <row r="39" spans="1:19" x14ac:dyDescent="0.35">
      <c r="A39" s="8">
        <v>44102</v>
      </c>
      <c r="B39" s="10">
        <v>5.92</v>
      </c>
      <c r="C39" s="10">
        <v>5.99</v>
      </c>
      <c r="D39" s="10">
        <v>5.7</v>
      </c>
      <c r="E39" s="10">
        <v>5.79</v>
      </c>
      <c r="F39" s="10">
        <v>5.79</v>
      </c>
      <c r="G39">
        <v>1709400</v>
      </c>
      <c r="H39" s="10">
        <f>IF(tbl_LLNW[[#This Row],[Date]]=$A$5, $F39, EMA_Beta*$H38 + (1-EMA_Beta)*$F39)</f>
        <v>5.7795282527495822</v>
      </c>
      <c r="I39" s="46">
        <f ca="1">IF(tbl_LLNW[[#This Row],[RS]]= "", "", 100-(100/(1+tbl_LLNW[[#This Row],[RS]])))</f>
        <v>65.267175572519079</v>
      </c>
      <c r="J39" s="10">
        <f ca="1">IF(ROW($N39)-4&lt;BB_Periods, "", AVERAGE(INDIRECT(ADDRESS(ROW($F39)-RSI_Periods +1, MATCH("Adj Close", Price_Header,0))): INDIRECT(ADDRESS(ROW($F39),MATCH("Adj Close", Price_Header,0)))))</f>
        <v>5.7328571428571431</v>
      </c>
      <c r="K39" s="10">
        <f ca="1">IF(tbl_LLNW[[#This Row],[BB_Mean]]="", "", tbl_LLNW[[#This Row],[BB_Mean]]+(BB_Width*tbl_LLNW[[#This Row],[BB_Stdev]]))</f>
        <v>6.5525917555000612</v>
      </c>
      <c r="L39" s="10">
        <f ca="1">IF(tbl_LLNW[[#This Row],[BB_Mean]]="", "", tbl_LLNW[[#This Row],[BB_Mean]]-(BB_Width*tbl_LLNW[[#This Row],[BB_Stdev]]))</f>
        <v>4.913122530214225</v>
      </c>
      <c r="M39" s="46">
        <f>IF(ROW(tbl_LLNW[[#This Row],[Adj Close]])=5, 0, $F39-$F38)</f>
        <v>9.9999999999997868E-3</v>
      </c>
      <c r="N39" s="46">
        <f>MAX(tbl_LLNW[[#This Row],[Move]],0)</f>
        <v>9.9999999999997868E-3</v>
      </c>
      <c r="O39" s="46">
        <f>MAX(-tbl_LLNW[[#This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0.12214285714285708</v>
      </c>
      <c r="Q39" s="46">
        <f ca="1">IF(ROW($O39)-5&lt;RSI_Periods, "", AVERAGE(INDIRECT(ADDRESS(ROW($O39)-RSI_Periods +1, MATCH("Downmove", Price_Header,0))): INDIRECT(ADDRESS(ROW($O39),MATCH("Downmove", Price_Header,0)))))</f>
        <v>6.4999999999999947E-2</v>
      </c>
      <c r="R39" s="46">
        <f ca="1">IF(tbl_LLNW[[#This Row],[Avg_Upmove]]="", "", tbl_LLNW[[#This Row],[Avg_Upmove]]/tbl_LLNW[[#This Row],[Avg_Downmove]])</f>
        <v>1.8791208791208798</v>
      </c>
      <c r="S39" s="10">
        <f ca="1">IF(ROW($N39)-4&lt;BB_Periods, "", _xlfn.STDEV.S(INDIRECT(ADDRESS(ROW($F39)-RSI_Periods +1, MATCH("Adj Close", Price_Header,0))): INDIRECT(ADDRESS(ROW($F39),MATCH("Adj Close", Price_Header,0)))))</f>
        <v>0.40986730632145901</v>
      </c>
    </row>
    <row r="40" spans="1:19" x14ac:dyDescent="0.35">
      <c r="A40" s="8">
        <v>44103</v>
      </c>
      <c r="B40" s="10">
        <v>5.71</v>
      </c>
      <c r="C40" s="10">
        <v>6.08</v>
      </c>
      <c r="D40" s="10">
        <v>5.7</v>
      </c>
      <c r="E40" s="10">
        <v>5.92</v>
      </c>
      <c r="F40" s="10">
        <v>5.92</v>
      </c>
      <c r="G40">
        <v>2130900</v>
      </c>
      <c r="H40" s="10">
        <f>IF(tbl_LLNW[[#This Row],[Date]]=$A$5, $F40, EMA_Beta*$H39 + (1-EMA_Beta)*$F40)</f>
        <v>5.7935754274746234</v>
      </c>
      <c r="I40" s="46">
        <f ca="1">IF(tbl_LLNW[[#This Row],[RS]]= "", "", 100-(100/(1+tbl_LLNW[[#This Row],[RS]])))</f>
        <v>62.551440329218124</v>
      </c>
      <c r="J40" s="10">
        <f ca="1">IF(ROW($N40)-4&lt;BB_Periods, "", AVERAGE(INDIRECT(ADDRESS(ROW($F40)-RSI_Periods +1, MATCH("Adj Close", Price_Header,0))): INDIRECT(ADDRESS(ROW($F40),MATCH("Adj Close", Price_Header,0)))))</f>
        <v>5.7764285714285721</v>
      </c>
      <c r="K40" s="10">
        <f ca="1">IF(tbl_LLNW[[#This Row],[BB_Mean]]="", "", tbl_LLNW[[#This Row],[BB_Mean]]+(BB_Width*tbl_LLNW[[#This Row],[BB_Stdev]]))</f>
        <v>6.5635404154158508</v>
      </c>
      <c r="L40" s="10">
        <f ca="1">IF(tbl_LLNW[[#This Row],[BB_Mean]]="", "", tbl_LLNW[[#This Row],[BB_Mean]]-(BB_Width*tbl_LLNW[[#This Row],[BB_Stdev]]))</f>
        <v>4.9893167274412935</v>
      </c>
      <c r="M40" s="46">
        <f>IF(ROW(tbl_LLNW[[#This Row],[Adj Close]])=5, 0, $F40-$F39)</f>
        <v>0.12999999999999989</v>
      </c>
      <c r="N40" s="46">
        <f>MAX(tbl_LLNW[[#This Row],[Move]],0)</f>
        <v>0.12999999999999989</v>
      </c>
      <c r="O40" s="46">
        <f>MAX(-tbl_LLNW[[#This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0.10857142857142854</v>
      </c>
      <c r="Q40" s="46">
        <f ca="1">IF(ROW($O40)-5&lt;RSI_Periods, "", AVERAGE(INDIRECT(ADDRESS(ROW($O40)-RSI_Periods +1, MATCH("Downmove", Price_Header,0))): INDIRECT(ADDRESS(ROW($O40),MATCH("Downmove", Price_Header,0)))))</f>
        <v>6.4999999999999947E-2</v>
      </c>
      <c r="R40" s="46">
        <f ca="1">IF(tbl_LLNW[[#This Row],[Avg_Upmove]]="", "", tbl_LLNW[[#This Row],[Avg_Upmove]]/tbl_LLNW[[#This Row],[Avg_Downmove]])</f>
        <v>1.6703296703296713</v>
      </c>
      <c r="S40" s="10">
        <f ca="1">IF(ROW($N40)-4&lt;BB_Periods, "", _xlfn.STDEV.S(INDIRECT(ADDRESS(ROW($F40)-RSI_Periods +1, MATCH("Adj Close", Price_Header,0))): INDIRECT(ADDRESS(ROW($F40),MATCH("Adj Close", Price_Header,0)))))</f>
        <v>0.39355592199363948</v>
      </c>
    </row>
    <row r="41" spans="1:19" x14ac:dyDescent="0.35">
      <c r="A41" s="8">
        <v>44104</v>
      </c>
      <c r="B41" s="10">
        <v>5.91</v>
      </c>
      <c r="C41" s="10">
        <v>5.97</v>
      </c>
      <c r="D41" s="10">
        <v>5.7</v>
      </c>
      <c r="E41" s="10">
        <v>5.76</v>
      </c>
      <c r="F41" s="10">
        <v>5.76</v>
      </c>
      <c r="G41">
        <v>2075100</v>
      </c>
      <c r="H41" s="10">
        <f>IF(tbl_LLNW[[#This Row],[Date]]=$A$5, $F41, EMA_Beta*$H40 + (1-EMA_Beta)*$F41)</f>
        <v>5.790217884727161</v>
      </c>
      <c r="I41" s="46">
        <f ca="1">IF(tbl_LLNW[[#This Row],[RS]]= "", "", 100-(100/(1+tbl_LLNW[[#This Row],[RS]])))</f>
        <v>58.365758754863812</v>
      </c>
      <c r="J41" s="10">
        <f ca="1">IF(ROW($N41)-4&lt;BB_Periods, "", AVERAGE(INDIRECT(ADDRESS(ROW($F41)-RSI_Periods +1, MATCH("Adj Close", Price_Header,0))): INDIRECT(ADDRESS(ROW($F41),MATCH("Adj Close", Price_Header,0)))))</f>
        <v>5.8071428571428578</v>
      </c>
      <c r="K41" s="10">
        <f ca="1">IF(tbl_LLNW[[#This Row],[BB_Mean]]="", "", tbl_LLNW[[#This Row],[BB_Mean]]+(BB_Width*tbl_LLNW[[#This Row],[BB_Stdev]]))</f>
        <v>6.5516170059497574</v>
      </c>
      <c r="L41" s="10">
        <f ca="1">IF(tbl_LLNW[[#This Row],[BB_Mean]]="", "", tbl_LLNW[[#This Row],[BB_Mean]]-(BB_Width*tbl_LLNW[[#This Row],[BB_Stdev]]))</f>
        <v>5.0626687083359583</v>
      </c>
      <c r="M41" s="46">
        <f>IF(ROW(tbl_LLNW[[#This Row],[Adj Close]])=5, 0, $F41-$F40)</f>
        <v>-0.16000000000000014</v>
      </c>
      <c r="N41" s="46">
        <f>MAX(tbl_LLNW[[#This Row],[Move]],0)</f>
        <v>0</v>
      </c>
      <c r="O41" s="46">
        <f>MAX(-tbl_LLNW[[#This Row],[Move]],0)</f>
        <v>0.16000000000000014</v>
      </c>
      <c r="P41" s="46">
        <f ca="1">IF(ROW($N41)-5&lt;RSI_Periods, "", AVERAGE(INDIRECT(ADDRESS(ROW($N41)-RSI_Periods +1, MATCH("Upmove", Price_Header,0))): INDIRECT(ADDRESS(ROW($N41),MATCH("Upmove", Price_Header,0)))))</f>
        <v>0.10714285714285708</v>
      </c>
      <c r="Q41" s="46">
        <f ca="1">IF(ROW($O41)-5&lt;RSI_Periods, "", AVERAGE(INDIRECT(ADDRESS(ROW($O41)-RSI_Periods +1, MATCH("Downmove", Price_Header,0))): INDIRECT(ADDRESS(ROW($O41),MATCH("Downmove", Price_Header,0)))))</f>
        <v>7.6428571428571387E-2</v>
      </c>
      <c r="R41" s="46">
        <f ca="1">IF(tbl_LLNW[[#This Row],[Avg_Upmove]]="", "", tbl_LLNW[[#This Row],[Avg_Upmove]]/tbl_LLNW[[#This Row],[Avg_Downmove]])</f>
        <v>1.4018691588785046</v>
      </c>
      <c r="S41" s="10">
        <f ca="1">IF(ROW($N41)-4&lt;BB_Periods, "", _xlfn.STDEV.S(INDIRECT(ADDRESS(ROW($F41)-RSI_Periods +1, MATCH("Adj Close", Price_Header,0))): INDIRECT(ADDRESS(ROW($F41),MATCH("Adj Close", Price_Header,0)))))</f>
        <v>0.37223707440344989</v>
      </c>
    </row>
    <row r="42" spans="1:19" x14ac:dyDescent="0.35">
      <c r="A42" s="8">
        <v>44105</v>
      </c>
      <c r="B42" s="10">
        <v>5.8</v>
      </c>
      <c r="C42" s="10">
        <v>5.84</v>
      </c>
      <c r="D42" s="10">
        <v>5.69</v>
      </c>
      <c r="E42" s="10">
        <v>5.8</v>
      </c>
      <c r="F42" s="10">
        <v>5.8</v>
      </c>
      <c r="G42">
        <v>1541900</v>
      </c>
      <c r="H42" s="10">
        <f>IF(tbl_LLNW[[#This Row],[Date]]=$A$5, $F42, EMA_Beta*$H41 + (1-EMA_Beta)*$F42)</f>
        <v>5.7911960962544455</v>
      </c>
      <c r="I42" s="46">
        <f ca="1">IF(tbl_LLNW[[#This Row],[RS]]= "", "", 100-(100/(1+tbl_LLNW[[#This Row],[RS]])))</f>
        <v>63.374485596707821</v>
      </c>
      <c r="J42" s="10">
        <f ca="1">IF(ROW($N42)-4&lt;BB_Periods, "", AVERAGE(INDIRECT(ADDRESS(ROW($F42)-RSI_Periods +1, MATCH("Adj Close", Price_Header,0))): INDIRECT(ADDRESS(ROW($F42),MATCH("Adj Close", Price_Header,0)))))</f>
        <v>5.8535714285714295</v>
      </c>
      <c r="K42" s="10">
        <f ca="1">IF(tbl_LLNW[[#This Row],[BB_Mean]]="", "", tbl_LLNW[[#This Row],[BB_Mean]]+(BB_Width*tbl_LLNW[[#This Row],[BB_Stdev]]))</f>
        <v>6.4955207264905885</v>
      </c>
      <c r="L42" s="10">
        <f ca="1">IF(tbl_LLNW[[#This Row],[BB_Mean]]="", "", tbl_LLNW[[#This Row],[BB_Mean]]-(BB_Width*tbl_LLNW[[#This Row],[BB_Stdev]]))</f>
        <v>5.2116221306522705</v>
      </c>
      <c r="M42" s="46">
        <f>IF(ROW(tbl_LLNW[[#This Row],[Adj Close]])=5, 0, $F42-$F41)</f>
        <v>4.0000000000000036E-2</v>
      </c>
      <c r="N42" s="46">
        <f>MAX(tbl_LLNW[[#This Row],[Move]],0)</f>
        <v>4.0000000000000036E-2</v>
      </c>
      <c r="O42" s="46">
        <f>MAX(-tbl_LLNW[[#This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0.10999999999999995</v>
      </c>
      <c r="Q42" s="46">
        <f ca="1">IF(ROW($O42)-5&lt;RSI_Periods, "", AVERAGE(INDIRECT(ADDRESS(ROW($O42)-RSI_Periods +1, MATCH("Downmove", Price_Header,0))): INDIRECT(ADDRESS(ROW($O42),MATCH("Downmove", Price_Header,0)))))</f>
        <v>6.3571428571428543E-2</v>
      </c>
      <c r="R42" s="46">
        <f ca="1">IF(tbl_LLNW[[#This Row],[Avg_Upmove]]="", "", tbl_LLNW[[#This Row],[Avg_Upmove]]/tbl_LLNW[[#This Row],[Avg_Downmove]])</f>
        <v>1.7303370786516854</v>
      </c>
      <c r="S42" s="10">
        <f ca="1">IF(ROW($N42)-4&lt;BB_Periods, "", _xlfn.STDEV.S(INDIRECT(ADDRESS(ROW($F42)-RSI_Periods +1, MATCH("Adj Close", Price_Header,0))): INDIRECT(ADDRESS(ROW($F42),MATCH("Adj Close", Price_Header,0)))))</f>
        <v>0.32097464895957939</v>
      </c>
    </row>
    <row r="43" spans="1:19" x14ac:dyDescent="0.35">
      <c r="A43" s="8">
        <v>44106</v>
      </c>
      <c r="B43" s="10">
        <v>5.64</v>
      </c>
      <c r="C43" s="10">
        <v>5.86</v>
      </c>
      <c r="D43" s="10">
        <v>5.56</v>
      </c>
      <c r="E43" s="10">
        <v>5.6</v>
      </c>
      <c r="F43" s="10">
        <v>5.6</v>
      </c>
      <c r="G43">
        <v>2091900</v>
      </c>
      <c r="H43" s="10">
        <f>IF(tbl_LLNW[[#This Row],[Date]]=$A$5, $F43, EMA_Beta*$H42 + (1-EMA_Beta)*$F43)</f>
        <v>5.7720764866290004</v>
      </c>
      <c r="I43" s="46">
        <f ca="1">IF(tbl_LLNW[[#This Row],[RS]]= "", "", 100-(100/(1+tbl_LLNW[[#This Row],[RS]])))</f>
        <v>55.870445344129557</v>
      </c>
      <c r="J43" s="10">
        <f ca="1">IF(ROW($N43)-4&lt;BB_Periods, "", AVERAGE(INDIRECT(ADDRESS(ROW($F43)-RSI_Periods +1, MATCH("Adj Close", Price_Header,0))): INDIRECT(ADDRESS(ROW($F43),MATCH("Adj Close", Price_Header,0)))))</f>
        <v>5.8742857142857137</v>
      </c>
      <c r="K43" s="10">
        <f ca="1">IF(tbl_LLNW[[#This Row],[BB_Mean]]="", "", tbl_LLNW[[#This Row],[BB_Mean]]+(BB_Width*tbl_LLNW[[#This Row],[BB_Stdev]]))</f>
        <v>6.4566265759130594</v>
      </c>
      <c r="L43" s="10">
        <f ca="1">IF(tbl_LLNW[[#This Row],[BB_Mean]]="", "", tbl_LLNW[[#This Row],[BB_Mean]]-(BB_Width*tbl_LLNW[[#This Row],[BB_Stdev]]))</f>
        <v>5.2919448526583679</v>
      </c>
      <c r="M43" s="46">
        <f>IF(ROW(tbl_LLNW[[#This Row],[Adj Close]])=5, 0, $F43-$F42)</f>
        <v>-0.20000000000000018</v>
      </c>
      <c r="N43" s="46">
        <f>MAX(tbl_LLNW[[#This Row],[Move]],0)</f>
        <v>0</v>
      </c>
      <c r="O43" s="46">
        <f>MAX(-tbl_LLNW[[#This Row],[Move]],0)</f>
        <v>0.20000000000000018</v>
      </c>
      <c r="P43" s="46">
        <f ca="1">IF(ROW($N43)-5&lt;RSI_Periods, "", AVERAGE(INDIRECT(ADDRESS(ROW($N43)-RSI_Periods +1, MATCH("Upmove", Price_Header,0))): INDIRECT(ADDRESS(ROW($N43),MATCH("Upmove", Price_Header,0)))))</f>
        <v>9.857142857142856E-2</v>
      </c>
      <c r="Q43" s="46">
        <f ca="1">IF(ROW($O43)-5&lt;RSI_Periods, "", AVERAGE(INDIRECT(ADDRESS(ROW($O43)-RSI_Periods +1, MATCH("Downmove", Price_Header,0))): INDIRECT(ADDRESS(ROW($O43),MATCH("Downmove", Price_Header,0)))))</f>
        <v>7.7857142857142847E-2</v>
      </c>
      <c r="R43" s="46">
        <f ca="1">IF(tbl_LLNW[[#This Row],[Avg_Upmove]]="", "", tbl_LLNW[[#This Row],[Avg_Upmove]]/tbl_LLNW[[#This Row],[Avg_Downmove]])</f>
        <v>1.2660550458715596</v>
      </c>
      <c r="S43" s="10">
        <f ca="1">IF(ROW($N43)-4&lt;BB_Periods, "", _xlfn.STDEV.S(INDIRECT(ADDRESS(ROW($F43)-RSI_Periods +1, MATCH("Adj Close", Price_Header,0))): INDIRECT(ADDRESS(ROW($F43),MATCH("Adj Close", Price_Header,0)))))</f>
        <v>0.29117043081367266</v>
      </c>
    </row>
    <row r="44" spans="1:19" x14ac:dyDescent="0.35">
      <c r="A44" s="8">
        <v>44109</v>
      </c>
      <c r="B44" s="10">
        <v>5.66</v>
      </c>
      <c r="C44" s="10">
        <v>5.73</v>
      </c>
      <c r="D44" s="10">
        <v>5.45</v>
      </c>
      <c r="E44" s="10">
        <v>5.5</v>
      </c>
      <c r="F44" s="10">
        <v>5.5</v>
      </c>
      <c r="G44">
        <v>2800900</v>
      </c>
      <c r="H44" s="10">
        <f>IF(tbl_LLNW[[#This Row],[Date]]=$A$5, $F44, EMA_Beta*$H43 + (1-EMA_Beta)*$F44)</f>
        <v>5.7448688379661004</v>
      </c>
      <c r="I44" s="46">
        <f ca="1">IF(tbl_LLNW[[#This Row],[RS]]= "", "", 100-(100/(1+tbl_LLNW[[#This Row],[RS]])))</f>
        <v>52.016129032258057</v>
      </c>
      <c r="J44" s="10">
        <f ca="1">IF(ROW($N44)-4&lt;BB_Periods, "", AVERAGE(INDIRECT(ADDRESS(ROW($F44)-RSI_Periods +1, MATCH("Adj Close", Price_Header,0))): INDIRECT(ADDRESS(ROW($F44),MATCH("Adj Close", Price_Header,0)))))</f>
        <v>5.8814285714285717</v>
      </c>
      <c r="K44" s="10">
        <f ca="1">IF(tbl_LLNW[[#This Row],[BB_Mean]]="", "", tbl_LLNW[[#This Row],[BB_Mean]]+(BB_Width*tbl_LLNW[[#This Row],[BB_Stdev]]))</f>
        <v>6.4407059702131182</v>
      </c>
      <c r="L44" s="10">
        <f ca="1">IF(tbl_LLNW[[#This Row],[BB_Mean]]="", "", tbl_LLNW[[#This Row],[BB_Mean]]-(BB_Width*tbl_LLNW[[#This Row],[BB_Stdev]]))</f>
        <v>5.3221511726440252</v>
      </c>
      <c r="M44" s="46">
        <f>IF(ROW(tbl_LLNW[[#This Row],[Adj Close]])=5, 0, $F44-$F43)</f>
        <v>-9.9999999999999645E-2</v>
      </c>
      <c r="N44" s="46">
        <f>MAX(tbl_LLNW[[#This Row],[Move]],0)</f>
        <v>0</v>
      </c>
      <c r="O44" s="46">
        <f>MAX(-tbl_LLNW[[#This Row],[Move]],0)</f>
        <v>9.9999999999999645E-2</v>
      </c>
      <c r="P44" s="46">
        <f ca="1">IF(ROW($N44)-5&lt;RSI_Periods, "", AVERAGE(INDIRECT(ADDRESS(ROW($N44)-RSI_Periods +1, MATCH("Upmove", Price_Header,0))): INDIRECT(ADDRESS(ROW($N44),MATCH("Upmove", Price_Header,0)))))</f>
        <v>9.2142857142857082E-2</v>
      </c>
      <c r="Q44" s="46">
        <f ca="1">IF(ROW($O44)-5&lt;RSI_Periods, "", AVERAGE(INDIRECT(ADDRESS(ROW($O44)-RSI_Periods +1, MATCH("Downmove", Price_Header,0))): INDIRECT(ADDRESS(ROW($O44),MATCH("Downmove", Price_Header,0)))))</f>
        <v>8.4999999999999964E-2</v>
      </c>
      <c r="R44" s="46">
        <f ca="1">IF(tbl_LLNW[[#This Row],[Avg_Upmove]]="", "", tbl_LLNW[[#This Row],[Avg_Upmove]]/tbl_LLNW[[#This Row],[Avg_Downmove]])</f>
        <v>1.0840336134453779</v>
      </c>
      <c r="S44" s="10">
        <f ca="1">IF(ROW($N44)-4&lt;BB_Periods, "", _xlfn.STDEV.S(INDIRECT(ADDRESS(ROW($F44)-RSI_Periods +1, MATCH("Adj Close", Price_Header,0))): INDIRECT(ADDRESS(ROW($F44),MATCH("Adj Close", Price_Header,0)))))</f>
        <v>0.27963869939227326</v>
      </c>
    </row>
    <row r="45" spans="1:19" x14ac:dyDescent="0.35">
      <c r="A45" s="8">
        <v>44110</v>
      </c>
      <c r="B45" s="10">
        <v>5.64</v>
      </c>
      <c r="C45" s="10">
        <v>5.81</v>
      </c>
      <c r="D45" s="10">
        <v>5.6</v>
      </c>
      <c r="E45" s="10">
        <v>5.66</v>
      </c>
      <c r="F45" s="10">
        <v>5.66</v>
      </c>
      <c r="G45">
        <v>2574400</v>
      </c>
      <c r="H45" s="10">
        <f>IF(tbl_LLNW[[#This Row],[Date]]=$A$5, $F45, EMA_Beta*$H44 + (1-EMA_Beta)*$F45)</f>
        <v>5.7363819541694907</v>
      </c>
      <c r="I45" s="46">
        <f ca="1">IF(tbl_LLNW[[#This Row],[RS]]= "", "", 100-(100/(1+tbl_LLNW[[#This Row],[RS]])))</f>
        <v>48.927038626609445</v>
      </c>
      <c r="J45" s="10">
        <f ca="1">IF(ROW($N45)-4&lt;BB_Periods, "", AVERAGE(INDIRECT(ADDRESS(ROW($F45)-RSI_Periods +1, MATCH("Adj Close", Price_Header,0))): INDIRECT(ADDRESS(ROW($F45),MATCH("Adj Close", Price_Header,0)))))</f>
        <v>5.8778571428571427</v>
      </c>
      <c r="K45" s="10">
        <f ca="1">IF(tbl_LLNW[[#This Row],[BB_Mean]]="", "", tbl_LLNW[[#This Row],[BB_Mean]]+(BB_Width*tbl_LLNW[[#This Row],[BB_Stdev]]))</f>
        <v>6.4424633948418508</v>
      </c>
      <c r="L45" s="10">
        <f ca="1">IF(tbl_LLNW[[#This Row],[BB_Mean]]="", "", tbl_LLNW[[#This Row],[BB_Mean]]-(BB_Width*tbl_LLNW[[#This Row],[BB_Stdev]]))</f>
        <v>5.3132508908724345</v>
      </c>
      <c r="M45" s="46">
        <f>IF(ROW(tbl_LLNW[[#This Row],[Adj Close]])=5, 0, $F45-$F44)</f>
        <v>0.16000000000000014</v>
      </c>
      <c r="N45" s="46">
        <f>MAX(tbl_LLNW[[#This Row],[Move]],0)</f>
        <v>0.16000000000000014</v>
      </c>
      <c r="O45" s="46">
        <f>MAX(-tbl_LLNW[[#This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8.1428571428571406E-2</v>
      </c>
      <c r="Q45" s="46">
        <f ca="1">IF(ROW($O45)-5&lt;RSI_Periods, "", AVERAGE(INDIRECT(ADDRESS(ROW($O45)-RSI_Periods +1, MATCH("Downmove", Price_Header,0))): INDIRECT(ADDRESS(ROW($O45),MATCH("Downmove", Price_Header,0)))))</f>
        <v>8.4999999999999964E-2</v>
      </c>
      <c r="R45" s="46">
        <f ca="1">IF(tbl_LLNW[[#This Row],[Avg_Upmove]]="", "", tbl_LLNW[[#This Row],[Avg_Upmove]]/tbl_LLNW[[#This Row],[Avg_Downmove]])</f>
        <v>0.95798319327731107</v>
      </c>
      <c r="S45" s="10">
        <f ca="1">IF(ROW($N45)-4&lt;BB_Periods, "", _xlfn.STDEV.S(INDIRECT(ADDRESS(ROW($F45)-RSI_Periods +1, MATCH("Adj Close", Price_Header,0))): INDIRECT(ADDRESS(ROW($F45),MATCH("Adj Close", Price_Header,0)))))</f>
        <v>0.28230312599235408</v>
      </c>
    </row>
    <row r="46" spans="1:19" x14ac:dyDescent="0.35">
      <c r="A46" s="8">
        <v>44111</v>
      </c>
      <c r="B46" s="10">
        <v>5.7</v>
      </c>
      <c r="C46" s="10">
        <v>5.89</v>
      </c>
      <c r="D46" s="10">
        <v>5.7</v>
      </c>
      <c r="E46" s="10">
        <v>5.86</v>
      </c>
      <c r="F46" s="10">
        <v>5.86</v>
      </c>
      <c r="G46">
        <v>2022000</v>
      </c>
      <c r="H46" s="10">
        <f>IF(tbl_LLNW[[#This Row],[Date]]=$A$5, $F46, EMA_Beta*$H45 + (1-EMA_Beta)*$F46)</f>
        <v>5.748743758752541</v>
      </c>
      <c r="I46" s="46">
        <f ca="1">IF(tbl_LLNW[[#This Row],[RS]]= "", "", 100-(100/(1+tbl_LLNW[[#This Row],[RS]])))</f>
        <v>50.209205020920521</v>
      </c>
      <c r="J46" s="10">
        <f ca="1">IF(ROW($N46)-4&lt;BB_Periods, "", AVERAGE(INDIRECT(ADDRESS(ROW($F46)-RSI_Periods +1, MATCH("Adj Close", Price_Header,0))): INDIRECT(ADDRESS(ROW($F46),MATCH("Adj Close", Price_Header,0)))))</f>
        <v>5.8785714285714272</v>
      </c>
      <c r="K46" s="10">
        <f ca="1">IF(tbl_LLNW[[#This Row],[BB_Mean]]="", "", tbl_LLNW[[#This Row],[BB_Mean]]+(BB_Width*tbl_LLNW[[#This Row],[BB_Stdev]]))</f>
        <v>6.4430511559641497</v>
      </c>
      <c r="L46" s="10">
        <f ca="1">IF(tbl_LLNW[[#This Row],[BB_Mean]]="", "", tbl_LLNW[[#This Row],[BB_Mean]]-(BB_Width*tbl_LLNW[[#This Row],[BB_Stdev]]))</f>
        <v>5.3140917011787048</v>
      </c>
      <c r="M46" s="46">
        <f>IF(ROW(tbl_LLNW[[#This Row],[Adj Close]])=5, 0, $F46-$F45)</f>
        <v>0.20000000000000018</v>
      </c>
      <c r="N46" s="46">
        <f>MAX(tbl_LLNW[[#This Row],[Move]],0)</f>
        <v>0.20000000000000018</v>
      </c>
      <c r="O46" s="46">
        <f>MAX(-tbl_LLNW[[#This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8.5714285714285729E-2</v>
      </c>
      <c r="Q46" s="46">
        <f ca="1">IF(ROW($O46)-5&lt;RSI_Periods, "", AVERAGE(INDIRECT(ADDRESS(ROW($O46)-RSI_Periods +1, MATCH("Downmove", Price_Header,0))): INDIRECT(ADDRESS(ROW($O46),MATCH("Downmove", Price_Header,0)))))</f>
        <v>8.4999999999999964E-2</v>
      </c>
      <c r="R46" s="46">
        <f ca="1">IF(tbl_LLNW[[#This Row],[Avg_Upmove]]="", "", tbl_LLNW[[#This Row],[Avg_Upmove]]/tbl_LLNW[[#This Row],[Avg_Downmove]])</f>
        <v>1.0084033613445385</v>
      </c>
      <c r="S46" s="10">
        <f ca="1">IF(ROW($N46)-4&lt;BB_Periods, "", _xlfn.STDEV.S(INDIRECT(ADDRESS(ROW($F46)-RSI_Periods +1, MATCH("Adj Close", Price_Header,0))): INDIRECT(ADDRESS(ROW($F46),MATCH("Adj Close", Price_Header,0)))))</f>
        <v>0.28223986369636134</v>
      </c>
    </row>
    <row r="47" spans="1:19" x14ac:dyDescent="0.35">
      <c r="A47" s="8">
        <v>44112</v>
      </c>
      <c r="B47" s="10">
        <v>5.97</v>
      </c>
      <c r="C47" s="10">
        <v>6.12</v>
      </c>
      <c r="D47" s="10">
        <v>5.85</v>
      </c>
      <c r="E47" s="10">
        <v>5.92</v>
      </c>
      <c r="F47" s="10">
        <v>5.92</v>
      </c>
      <c r="G47">
        <v>3283400</v>
      </c>
      <c r="H47" s="10">
        <f>IF(tbl_LLNW[[#This Row],[Date]]=$A$5, $F47, EMA_Beta*$H46 + (1-EMA_Beta)*$F47)</f>
        <v>5.7658693828772867</v>
      </c>
      <c r="I47" s="46">
        <f ca="1">IF(tbl_LLNW[[#This Row],[RS]]= "", "", 100-(100/(1+tbl_LLNW[[#This Row],[RS]])))</f>
        <v>37.696335078534034</v>
      </c>
      <c r="J47" s="10">
        <f ca="1">IF(ROW($N47)-4&lt;BB_Periods, "", AVERAGE(INDIRECT(ADDRESS(ROW($F47)-RSI_Periods +1, MATCH("Adj Close", Price_Header,0))): INDIRECT(ADDRESS(ROW($F47),MATCH("Adj Close", Price_Header,0)))))</f>
        <v>5.8449999999999998</v>
      </c>
      <c r="K47" s="10">
        <f ca="1">IF(tbl_LLNW[[#This Row],[BB_Mean]]="", "", tbl_LLNW[[#This Row],[BB_Mean]]+(BB_Width*tbl_LLNW[[#This Row],[BB_Stdev]]))</f>
        <v>6.3285605124808777</v>
      </c>
      <c r="L47" s="10">
        <f ca="1">IF(tbl_LLNW[[#This Row],[BB_Mean]]="", "", tbl_LLNW[[#This Row],[BB_Mean]]-(BB_Width*tbl_LLNW[[#This Row],[BB_Stdev]]))</f>
        <v>5.3614394875191218</v>
      </c>
      <c r="M47" s="46">
        <f>IF(ROW(tbl_LLNW[[#This Row],[Adj Close]])=5, 0, $F47-$F46)</f>
        <v>5.9999999999999609E-2</v>
      </c>
      <c r="N47" s="46">
        <f>MAX(tbl_LLNW[[#This Row],[Move]],0)</f>
        <v>5.9999999999999609E-2</v>
      </c>
      <c r="O47" s="46">
        <f>MAX(-tbl_LLNW[[#This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5.1428571428571414E-2</v>
      </c>
      <c r="Q47" s="46">
        <f ca="1">IF(ROW($O47)-5&lt;RSI_Periods, "", AVERAGE(INDIRECT(ADDRESS(ROW($O47)-RSI_Periods +1, MATCH("Downmove", Price_Header,0))): INDIRECT(ADDRESS(ROW($O47),MATCH("Downmove", Price_Header,0)))))</f>
        <v>8.4999999999999964E-2</v>
      </c>
      <c r="R47" s="46">
        <f ca="1">IF(tbl_LLNW[[#This Row],[Avg_Upmove]]="", "", tbl_LLNW[[#This Row],[Avg_Upmove]]/tbl_LLNW[[#This Row],[Avg_Downmove]])</f>
        <v>0.60504201680672276</v>
      </c>
      <c r="S47" s="10">
        <f ca="1">IF(ROW($N47)-4&lt;BB_Periods, "", _xlfn.STDEV.S(INDIRECT(ADDRESS(ROW($F47)-RSI_Periods +1, MATCH("Adj Close", Price_Header,0))): INDIRECT(ADDRESS(ROW($F47),MATCH("Adj Close", Price_Header,0)))))</f>
        <v>0.24178025624043889</v>
      </c>
    </row>
    <row r="48" spans="1:19" x14ac:dyDescent="0.35">
      <c r="A48" s="8">
        <v>44113</v>
      </c>
      <c r="B48" s="10">
        <v>6.04</v>
      </c>
      <c r="C48" s="10">
        <v>6.36</v>
      </c>
      <c r="D48" s="10">
        <v>5.96</v>
      </c>
      <c r="E48" s="10">
        <v>6.32</v>
      </c>
      <c r="F48" s="10">
        <v>6.32</v>
      </c>
      <c r="G48">
        <v>3808000</v>
      </c>
      <c r="H48" s="10">
        <f>IF(tbl_LLNW[[#This Row],[Date]]=$A$5, $F48, EMA_Beta*$H47 + (1-EMA_Beta)*$F48)</f>
        <v>5.8212824445895581</v>
      </c>
      <c r="I48" s="46">
        <f ca="1">IF(tbl_LLNW[[#This Row],[RS]]= "", "", 100-(100/(1+tbl_LLNW[[#This Row],[RS]])))</f>
        <v>49.777777777777786</v>
      </c>
      <c r="J48" s="10">
        <f ca="1">IF(ROW($N48)-4&lt;BB_Periods, "", AVERAGE(INDIRECT(ADDRESS(ROW($F48)-RSI_Periods +1, MATCH("Adj Close", Price_Header,0))): INDIRECT(ADDRESS(ROW($F48),MATCH("Adj Close", Price_Header,0)))))</f>
        <v>5.8442857142857134</v>
      </c>
      <c r="K48" s="10">
        <f ca="1">IF(tbl_LLNW[[#This Row],[BB_Mean]]="", "", tbl_LLNW[[#This Row],[BB_Mean]]+(BB_Width*tbl_LLNW[[#This Row],[BB_Stdev]]))</f>
        <v>6.3247799653176333</v>
      </c>
      <c r="L48" s="10">
        <f ca="1">IF(tbl_LLNW[[#This Row],[BB_Mean]]="", "", tbl_LLNW[[#This Row],[BB_Mean]]-(BB_Width*tbl_LLNW[[#This Row],[BB_Stdev]]))</f>
        <v>5.3637914632537935</v>
      </c>
      <c r="M48" s="46">
        <f>IF(ROW(tbl_LLNW[[#This Row],[Adj Close]])=5, 0, $F48-$F47)</f>
        <v>0.40000000000000036</v>
      </c>
      <c r="N48" s="46">
        <f>MAX(tbl_LLNW[[#This Row],[Move]],0)</f>
        <v>0.40000000000000036</v>
      </c>
      <c r="O48" s="46">
        <f>MAX(-tbl_LLNW[[#This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0.08</v>
      </c>
      <c r="Q48" s="46">
        <f ca="1">IF(ROW($O48)-5&lt;RSI_Periods, "", AVERAGE(INDIRECT(ADDRESS(ROW($O48)-RSI_Periods +1, MATCH("Downmove", Price_Header,0))): INDIRECT(ADDRESS(ROW($O48),MATCH("Downmove", Price_Header,0)))))</f>
        <v>8.0714285714285711E-2</v>
      </c>
      <c r="R48" s="46">
        <f ca="1">IF(tbl_LLNW[[#This Row],[Avg_Upmove]]="", "", tbl_LLNW[[#This Row],[Avg_Upmove]]/tbl_LLNW[[#This Row],[Avg_Downmove]])</f>
        <v>0.9911504424778762</v>
      </c>
      <c r="S48" s="10">
        <f ca="1">IF(ROW($N48)-4&lt;BB_Periods, "", _xlfn.STDEV.S(INDIRECT(ADDRESS(ROW($F48)-RSI_Periods +1, MATCH("Adj Close", Price_Header,0))): INDIRECT(ADDRESS(ROW($F48),MATCH("Adj Close", Price_Header,0)))))</f>
        <v>0.24024712551595975</v>
      </c>
    </row>
    <row r="49" spans="1:19" x14ac:dyDescent="0.35">
      <c r="A49" s="8">
        <v>44116</v>
      </c>
      <c r="B49" s="10">
        <v>6.5</v>
      </c>
      <c r="C49" s="10">
        <v>6.6</v>
      </c>
      <c r="D49" s="10">
        <v>6.23</v>
      </c>
      <c r="E49" s="10">
        <v>6.35</v>
      </c>
      <c r="F49" s="10">
        <v>6.35</v>
      </c>
      <c r="G49">
        <v>4958500</v>
      </c>
      <c r="H49" s="10">
        <f>IF(tbl_LLNW[[#This Row],[Date]]=$A$5, $F49, EMA_Beta*$H48 + (1-EMA_Beta)*$F49)</f>
        <v>5.8741542001306026</v>
      </c>
      <c r="I49" s="46">
        <f ca="1">IF(tbl_LLNW[[#This Row],[RS]]= "", "", 100-(100/(1+tbl_LLNW[[#This Row],[RS]])))</f>
        <v>50</v>
      </c>
      <c r="J49" s="10">
        <f ca="1">IF(ROW($N49)-4&lt;BB_Periods, "", AVERAGE(INDIRECT(ADDRESS(ROW($F49)-RSI_Periods +1, MATCH("Adj Close", Price_Header,0))): INDIRECT(ADDRESS(ROW($F49),MATCH("Adj Close", Price_Header,0)))))</f>
        <v>5.8442857142857134</v>
      </c>
      <c r="K49" s="10">
        <f ca="1">IF(tbl_LLNW[[#This Row],[BB_Mean]]="", "", tbl_LLNW[[#This Row],[BB_Mean]]+(BB_Width*tbl_LLNW[[#This Row],[BB_Stdev]]))</f>
        <v>6.3247799653176333</v>
      </c>
      <c r="L49" s="10">
        <f ca="1">IF(tbl_LLNW[[#This Row],[BB_Mean]]="", "", tbl_LLNW[[#This Row],[BB_Mean]]-(BB_Width*tbl_LLNW[[#This Row],[BB_Stdev]]))</f>
        <v>5.3637914632537935</v>
      </c>
      <c r="M49" s="46">
        <f>IF(ROW(tbl_LLNW[[#This Row],[Adj Close]])=5, 0, $F49-$F48)</f>
        <v>2.9999999999999361E-2</v>
      </c>
      <c r="N49" s="46">
        <f>MAX(tbl_LLNW[[#This Row],[Move]],0)</f>
        <v>2.9999999999999361E-2</v>
      </c>
      <c r="O49" s="46">
        <f>MAX(-tbl_LLNW[[#This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8.0714285714285711E-2</v>
      </c>
      <c r="Q49" s="46">
        <f ca="1">IF(ROW($O49)-5&lt;RSI_Periods, "", AVERAGE(INDIRECT(ADDRESS(ROW($O49)-RSI_Periods +1, MATCH("Downmove", Price_Header,0))): INDIRECT(ADDRESS(ROW($O49),MATCH("Downmove", Price_Header,0)))))</f>
        <v>8.0714285714285711E-2</v>
      </c>
      <c r="R49" s="46">
        <f ca="1">IF(tbl_LLNW[[#This Row],[Avg_Upmove]]="", "", tbl_LLNW[[#This Row],[Avg_Upmove]]/tbl_LLNW[[#This Row],[Avg_Downmove]])</f>
        <v>1</v>
      </c>
      <c r="S49" s="10">
        <f ca="1">IF(ROW($N49)-4&lt;BB_Periods, "", _xlfn.STDEV.S(INDIRECT(ADDRESS(ROW($F49)-RSI_Periods +1, MATCH("Adj Close", Price_Header,0))): INDIRECT(ADDRESS(ROW($F49),MATCH("Adj Close", Price_Header,0)))))</f>
        <v>0.24024712551595975</v>
      </c>
    </row>
    <row r="50" spans="1:19" x14ac:dyDescent="0.35">
      <c r="A50" s="8">
        <v>44117</v>
      </c>
      <c r="B50" s="10">
        <v>6.4</v>
      </c>
      <c r="C50" s="10">
        <v>7.04</v>
      </c>
      <c r="D50" s="10">
        <v>6.38</v>
      </c>
      <c r="E50" s="10">
        <v>6.68</v>
      </c>
      <c r="F50" s="10">
        <v>6.68</v>
      </c>
      <c r="G50">
        <v>9875000</v>
      </c>
      <c r="H50" s="10">
        <f>IF(tbl_LLNW[[#This Row],[Date]]=$A$5, $F50, EMA_Beta*$H49 + (1-EMA_Beta)*$F50)</f>
        <v>5.9547387801175429</v>
      </c>
      <c r="I50" s="46">
        <f ca="1">IF(tbl_LLNW[[#This Row],[RS]]= "", "", 100-(100/(1+tbl_LLNW[[#This Row],[RS]])))</f>
        <v>68.867924528301884</v>
      </c>
      <c r="J50" s="10">
        <f ca="1">IF(ROW($N50)-4&lt;BB_Periods, "", AVERAGE(INDIRECT(ADDRESS(ROW($F50)-RSI_Periods +1, MATCH("Adj Close", Price_Header,0))): INDIRECT(ADDRESS(ROW($F50),MATCH("Adj Close", Price_Header,0)))))</f>
        <v>5.9014285714285721</v>
      </c>
      <c r="K50" s="10">
        <f ca="1">IF(tbl_LLNW[[#This Row],[BB_Mean]]="", "", tbl_LLNW[[#This Row],[BB_Mean]]+(BB_Width*tbl_LLNW[[#This Row],[BB_Stdev]]))</f>
        <v>6.5581737927391544</v>
      </c>
      <c r="L50" s="10">
        <f ca="1">IF(tbl_LLNW[[#This Row],[BB_Mean]]="", "", tbl_LLNW[[#This Row],[BB_Mean]]-(BB_Width*tbl_LLNW[[#This Row],[BB_Stdev]]))</f>
        <v>5.2446833501179899</v>
      </c>
      <c r="M50" s="46">
        <f>IF(ROW(tbl_LLNW[[#This Row],[Adj Close]])=5, 0, $F50-$F49)</f>
        <v>0.33000000000000007</v>
      </c>
      <c r="N50" s="46">
        <f>MAX(tbl_LLNW[[#This Row],[Move]],0)</f>
        <v>0.33000000000000007</v>
      </c>
      <c r="O50" s="46">
        <f>MAX(-tbl_LLNW[[#This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0.10428571428571429</v>
      </c>
      <c r="Q50" s="46">
        <f ca="1">IF(ROW($O50)-5&lt;RSI_Periods, "", AVERAGE(INDIRECT(ADDRESS(ROW($O50)-RSI_Periods +1, MATCH("Downmove", Price_Header,0))): INDIRECT(ADDRESS(ROW($O50),MATCH("Downmove", Price_Header,0)))))</f>
        <v>4.7142857142857153E-2</v>
      </c>
      <c r="R50" s="46">
        <f ca="1">IF(tbl_LLNW[[#This Row],[Avg_Upmove]]="", "", tbl_LLNW[[#This Row],[Avg_Upmove]]/tbl_LLNW[[#This Row],[Avg_Downmove]])</f>
        <v>2.2121212121212115</v>
      </c>
      <c r="S50" s="10">
        <f ca="1">IF(ROW($N50)-4&lt;BB_Periods, "", _xlfn.STDEV.S(INDIRECT(ADDRESS(ROW($F50)-RSI_Periods +1, MATCH("Adj Close", Price_Header,0))): INDIRECT(ADDRESS(ROW($F50),MATCH("Adj Close", Price_Header,0)))))</f>
        <v>0.32837261065529111</v>
      </c>
    </row>
    <row r="51" spans="1:19" x14ac:dyDescent="0.35">
      <c r="A51" s="8">
        <v>44118</v>
      </c>
      <c r="B51" s="10">
        <v>6.77</v>
      </c>
      <c r="C51" s="10">
        <v>6.94</v>
      </c>
      <c r="D51" s="10">
        <v>6.25</v>
      </c>
      <c r="E51" s="10">
        <v>6.35</v>
      </c>
      <c r="F51" s="10">
        <v>6.35</v>
      </c>
      <c r="G51">
        <v>5414400</v>
      </c>
      <c r="H51" s="10">
        <f>IF(tbl_LLNW[[#This Row],[Date]]=$A$5, $F51, EMA_Beta*$H50 + (1-EMA_Beta)*$F51)</f>
        <v>5.9942649021057886</v>
      </c>
      <c r="I51" s="46">
        <f ca="1">IF(tbl_LLNW[[#This Row],[RS]]= "", "", 100-(100/(1+tbl_LLNW[[#This Row],[RS]])))</f>
        <v>64.888888888888886</v>
      </c>
      <c r="J51" s="10">
        <f ca="1">IF(ROW($N51)-4&lt;BB_Periods, "", AVERAGE(INDIRECT(ADDRESS(ROW($F51)-RSI_Periods +1, MATCH("Adj Close", Price_Header,0))): INDIRECT(ADDRESS(ROW($F51),MATCH("Adj Close", Price_Header,0)))))</f>
        <v>5.9492857142857138</v>
      </c>
      <c r="K51" s="10">
        <f ca="1">IF(tbl_LLNW[[#This Row],[BB_Mean]]="", "", tbl_LLNW[[#This Row],[BB_Mean]]+(BB_Width*tbl_LLNW[[#This Row],[BB_Stdev]]))</f>
        <v>6.6335917315577566</v>
      </c>
      <c r="L51" s="10">
        <f ca="1">IF(tbl_LLNW[[#This Row],[BB_Mean]]="", "", tbl_LLNW[[#This Row],[BB_Mean]]-(BB_Width*tbl_LLNW[[#This Row],[BB_Stdev]]))</f>
        <v>5.2649796970136711</v>
      </c>
      <c r="M51" s="46">
        <f>IF(ROW(tbl_LLNW[[#This Row],[Adj Close]])=5, 0, $F51-$F50)</f>
        <v>-0.33000000000000007</v>
      </c>
      <c r="N51" s="46">
        <f>MAX(tbl_LLNW[[#This Row],[Move]],0)</f>
        <v>0</v>
      </c>
      <c r="O51" s="46">
        <f>MAX(-tbl_LLNW[[#This Row],[Move]],0)</f>
        <v>0.33000000000000007</v>
      </c>
      <c r="P51" s="46">
        <f ca="1">IF(ROW($N51)-5&lt;RSI_Periods, "", AVERAGE(INDIRECT(ADDRESS(ROW($N51)-RSI_Periods +1, MATCH("Upmove", Price_Header,0))): INDIRECT(ADDRESS(ROW($N51),MATCH("Upmove", Price_Header,0)))))</f>
        <v>0.10428571428571429</v>
      </c>
      <c r="Q51" s="46">
        <f ca="1">IF(ROW($O51)-5&lt;RSI_Periods, "", AVERAGE(INDIRECT(ADDRESS(ROW($O51)-RSI_Periods +1, MATCH("Downmove", Price_Header,0))): INDIRECT(ADDRESS(ROW($O51),MATCH("Downmove", Price_Header,0)))))</f>
        <v>5.6428571428571432E-2</v>
      </c>
      <c r="R51" s="46">
        <f ca="1">IF(tbl_LLNW[[#This Row],[Avg_Upmove]]="", "", tbl_LLNW[[#This Row],[Avg_Upmove]]/tbl_LLNW[[#This Row],[Avg_Downmove]])</f>
        <v>1.8481012658227847</v>
      </c>
      <c r="S51" s="10">
        <f ca="1">IF(ROW($N51)-4&lt;BB_Periods, "", _xlfn.STDEV.S(INDIRECT(ADDRESS(ROW($F51)-RSI_Periods +1, MATCH("Adj Close", Price_Header,0))): INDIRECT(ADDRESS(ROW($F51),MATCH("Adj Close", Price_Header,0)))))</f>
        <v>0.34215300863602133</v>
      </c>
    </row>
    <row r="52" spans="1:19" x14ac:dyDescent="0.35">
      <c r="A52" s="8">
        <v>44119</v>
      </c>
      <c r="B52" s="10">
        <v>6.12</v>
      </c>
      <c r="C52" s="10">
        <v>6.27</v>
      </c>
      <c r="D52" s="10">
        <v>5.94</v>
      </c>
      <c r="E52" s="10">
        <v>6.04</v>
      </c>
      <c r="F52" s="10">
        <v>6.04</v>
      </c>
      <c r="G52">
        <v>7738700</v>
      </c>
      <c r="H52" s="10">
        <f>IF(tbl_LLNW[[#This Row],[Date]]=$A$5, $F52, EMA_Beta*$H51 + (1-EMA_Beta)*$F52)</f>
        <v>5.9988384118952096</v>
      </c>
      <c r="I52" s="46">
        <f ca="1">IF(tbl_LLNW[[#This Row],[RS]]= "", "", 100-(100/(1+tbl_LLNW[[#This Row],[RS]])))</f>
        <v>55.284552845528452</v>
      </c>
      <c r="J52" s="10">
        <f ca="1">IF(ROW($N52)-4&lt;BB_Periods, "", AVERAGE(INDIRECT(ADDRESS(ROW($F52)-RSI_Periods +1, MATCH("Adj Close", Price_Header,0))): INDIRECT(ADDRESS(ROW($F52),MATCH("Adj Close", Price_Header,0)))))</f>
        <v>5.9678571428571425</v>
      </c>
      <c r="K52" s="10">
        <f ca="1">IF(tbl_LLNW[[#This Row],[BB_Mean]]="", "", tbl_LLNW[[#This Row],[BB_Mean]]+(BB_Width*tbl_LLNW[[#This Row],[BB_Stdev]]))</f>
        <v>6.6464610749878785</v>
      </c>
      <c r="L52" s="10">
        <f ca="1">IF(tbl_LLNW[[#This Row],[BB_Mean]]="", "", tbl_LLNW[[#This Row],[BB_Mean]]-(BB_Width*tbl_LLNW[[#This Row],[BB_Stdev]]))</f>
        <v>5.2892532107264065</v>
      </c>
      <c r="M52" s="46">
        <f>IF(ROW(tbl_LLNW[[#This Row],[Adj Close]])=5, 0, $F52-$F51)</f>
        <v>-0.30999999999999961</v>
      </c>
      <c r="N52" s="46">
        <f>MAX(tbl_LLNW[[#This Row],[Move]],0)</f>
        <v>0</v>
      </c>
      <c r="O52" s="46">
        <f>MAX(-tbl_LLNW[[#This Row],[Move]],0)</f>
        <v>0.30999999999999961</v>
      </c>
      <c r="P52" s="46">
        <f ca="1">IF(ROW($N52)-5&lt;RSI_Periods, "", AVERAGE(INDIRECT(ADDRESS(ROW($N52)-RSI_Periods +1, MATCH("Upmove", Price_Header,0))): INDIRECT(ADDRESS(ROW($N52),MATCH("Upmove", Price_Header,0)))))</f>
        <v>9.71428571428571E-2</v>
      </c>
      <c r="Q52" s="46">
        <f ca="1">IF(ROW($O52)-5&lt;RSI_Periods, "", AVERAGE(INDIRECT(ADDRESS(ROW($O52)-RSI_Periods +1, MATCH("Downmove", Price_Header,0))): INDIRECT(ADDRESS(ROW($O52),MATCH("Downmove", Price_Header,0)))))</f>
        <v>7.8571428571428542E-2</v>
      </c>
      <c r="R52" s="46">
        <f ca="1">IF(tbl_LLNW[[#This Row],[Avg_Upmove]]="", "", tbl_LLNW[[#This Row],[Avg_Upmove]]/tbl_LLNW[[#This Row],[Avg_Downmove]])</f>
        <v>1.2363636363636363</v>
      </c>
      <c r="S52" s="10">
        <f ca="1">IF(ROW($N52)-4&lt;BB_Periods, "", _xlfn.STDEV.S(INDIRECT(ADDRESS(ROW($F52)-RSI_Periods +1, MATCH("Adj Close", Price_Header,0))): INDIRECT(ADDRESS(ROW($F52),MATCH("Adj Close", Price_Header,0)))))</f>
        <v>0.339301966065368</v>
      </c>
    </row>
    <row r="53" spans="1:19" x14ac:dyDescent="0.35">
      <c r="A53" s="8">
        <v>44120</v>
      </c>
      <c r="B53" s="10">
        <v>6.2</v>
      </c>
      <c r="C53" s="10">
        <v>6.24</v>
      </c>
      <c r="D53" s="10">
        <v>5.93</v>
      </c>
      <c r="E53" s="10">
        <v>5.98</v>
      </c>
      <c r="F53" s="10">
        <v>5.98</v>
      </c>
      <c r="G53">
        <v>4584900</v>
      </c>
      <c r="H53" s="10">
        <f>IF(tbl_LLNW[[#This Row],[Date]]=$A$5, $F53, EMA_Beta*$H52 + (1-EMA_Beta)*$F53)</f>
        <v>5.9969545707056886</v>
      </c>
      <c r="I53" s="46">
        <f ca="1">IF(tbl_LLNW[[#This Row],[RS]]= "", "", 100-(100/(1+tbl_LLNW[[#This Row],[RS]])))</f>
        <v>53.78486055776893</v>
      </c>
      <c r="J53" s="10">
        <f ca="1">IF(ROW($N53)-4&lt;BB_Periods, "", AVERAGE(INDIRECT(ADDRESS(ROW($F53)-RSI_Periods +1, MATCH("Adj Close", Price_Header,0))): INDIRECT(ADDRESS(ROW($F53),MATCH("Adj Close", Price_Header,0)))))</f>
        <v>5.9814285714285722</v>
      </c>
      <c r="K53" s="10">
        <f ca="1">IF(tbl_LLNW[[#This Row],[BB_Mean]]="", "", tbl_LLNW[[#This Row],[BB_Mean]]+(BB_Width*tbl_LLNW[[#This Row],[BB_Stdev]]))</f>
        <v>6.652265345928881</v>
      </c>
      <c r="L53" s="10">
        <f ca="1">IF(tbl_LLNW[[#This Row],[BB_Mean]]="", "", tbl_LLNW[[#This Row],[BB_Mean]]-(BB_Width*tbl_LLNW[[#This Row],[BB_Stdev]]))</f>
        <v>5.3105917969282634</v>
      </c>
      <c r="M53" s="46">
        <f>IF(ROW(tbl_LLNW[[#This Row],[Adj Close]])=5, 0, $F53-$F52)</f>
        <v>-5.9999999999999609E-2</v>
      </c>
      <c r="N53" s="46">
        <f>MAX(tbl_LLNW[[#This Row],[Move]],0)</f>
        <v>0</v>
      </c>
      <c r="O53" s="46">
        <f>MAX(-tbl_LLNW[[#This Row],[Move]],0)</f>
        <v>5.9999999999999609E-2</v>
      </c>
      <c r="P53" s="46">
        <f ca="1">IF(ROW($N53)-5&lt;RSI_Periods, "", AVERAGE(INDIRECT(ADDRESS(ROW($N53)-RSI_Periods +1, MATCH("Upmove", Price_Header,0))): INDIRECT(ADDRESS(ROW($N53),MATCH("Upmove", Price_Header,0)))))</f>
        <v>9.6428571428571405E-2</v>
      </c>
      <c r="Q53" s="46">
        <f ca="1">IF(ROW($O53)-5&lt;RSI_Periods, "", AVERAGE(INDIRECT(ADDRESS(ROW($O53)-RSI_Periods +1, MATCH("Downmove", Price_Header,0))): INDIRECT(ADDRESS(ROW($O53),MATCH("Downmove", Price_Header,0)))))</f>
        <v>8.285714285714281E-2</v>
      </c>
      <c r="R53" s="46">
        <f ca="1">IF(tbl_LLNW[[#This Row],[Avg_Upmove]]="", "", tbl_LLNW[[#This Row],[Avg_Upmove]]/tbl_LLNW[[#This Row],[Avg_Downmove]])</f>
        <v>1.1637931034482762</v>
      </c>
      <c r="S53" s="10">
        <f ca="1">IF(ROW($N53)-4&lt;BB_Periods, "", _xlfn.STDEV.S(INDIRECT(ADDRESS(ROW($F53)-RSI_Periods +1, MATCH("Adj Close", Price_Header,0))): INDIRECT(ADDRESS(ROW($F53),MATCH("Adj Close", Price_Header,0)))))</f>
        <v>0.33541838725015433</v>
      </c>
    </row>
    <row r="54" spans="1:19" x14ac:dyDescent="0.35">
      <c r="A54" s="8">
        <v>44123</v>
      </c>
      <c r="B54" s="10">
        <v>6.1</v>
      </c>
      <c r="C54" s="10">
        <v>6.36</v>
      </c>
      <c r="D54" s="10">
        <v>6.1</v>
      </c>
      <c r="E54" s="10">
        <v>6.12</v>
      </c>
      <c r="F54" s="10">
        <v>6.12</v>
      </c>
      <c r="G54">
        <v>3908000</v>
      </c>
      <c r="H54" s="10">
        <f>IF(tbl_LLNW[[#This Row],[Date]]=$A$5, $F54, EMA_Beta*$H53 + (1-EMA_Beta)*$F54)</f>
        <v>6.0092591136351201</v>
      </c>
      <c r="I54" s="46">
        <f ca="1">IF(tbl_LLNW[[#This Row],[RS]]= "", "", 100-(100/(1+tbl_LLNW[[#This Row],[RS]])))</f>
        <v>53.968253968253968</v>
      </c>
      <c r="J54" s="10">
        <f ca="1">IF(ROW($N54)-4&lt;BB_Periods, "", AVERAGE(INDIRECT(ADDRESS(ROW($F54)-RSI_Periods +1, MATCH("Adj Close", Price_Header,0))): INDIRECT(ADDRESS(ROW($F54),MATCH("Adj Close", Price_Header,0)))))</f>
        <v>5.9957142857142864</v>
      </c>
      <c r="K54" s="10">
        <f ca="1">IF(tbl_LLNW[[#This Row],[BB_Mean]]="", "", tbl_LLNW[[#This Row],[BB_Mean]]+(BB_Width*tbl_LLNW[[#This Row],[BB_Stdev]]))</f>
        <v>6.6694279562673708</v>
      </c>
      <c r="L54" s="10">
        <f ca="1">IF(tbl_LLNW[[#This Row],[BB_Mean]]="", "", tbl_LLNW[[#This Row],[BB_Mean]]-(BB_Width*tbl_LLNW[[#This Row],[BB_Stdev]]))</f>
        <v>5.322000615161202</v>
      </c>
      <c r="M54" s="46">
        <f>IF(ROW(tbl_LLNW[[#This Row],[Adj Close]])=5, 0, $F54-$F53)</f>
        <v>0.13999999999999968</v>
      </c>
      <c r="N54" s="46">
        <f>MAX(tbl_LLNW[[#This Row],[Move]],0)</f>
        <v>0.13999999999999968</v>
      </c>
      <c r="O54" s="46">
        <f>MAX(-tbl_LLNW[[#This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9.71428571428571E-2</v>
      </c>
      <c r="Q54" s="46">
        <f ca="1">IF(ROW($O54)-5&lt;RSI_Periods, "", AVERAGE(INDIRECT(ADDRESS(ROW($O54)-RSI_Periods +1, MATCH("Downmove", Price_Header,0))): INDIRECT(ADDRESS(ROW($O54),MATCH("Downmove", Price_Header,0)))))</f>
        <v>8.285714285714281E-2</v>
      </c>
      <c r="R54" s="46">
        <f ca="1">IF(tbl_LLNW[[#This Row],[Avg_Upmove]]="", "", tbl_LLNW[[#This Row],[Avg_Upmove]]/tbl_LLNW[[#This Row],[Avg_Downmove]])</f>
        <v>1.1724137931034484</v>
      </c>
      <c r="S54" s="10">
        <f ca="1">IF(ROW($N54)-4&lt;BB_Periods, "", _xlfn.STDEV.S(INDIRECT(ADDRESS(ROW($F54)-RSI_Periods +1, MATCH("Adj Close", Price_Header,0))): INDIRECT(ADDRESS(ROW($F54),MATCH("Adj Close", Price_Header,0)))))</f>
        <v>0.33685683527654214</v>
      </c>
    </row>
    <row r="55" spans="1:19" x14ac:dyDescent="0.35">
      <c r="A55" s="8">
        <v>44124</v>
      </c>
      <c r="B55" s="10">
        <v>6.15</v>
      </c>
      <c r="C55" s="10">
        <v>6.24</v>
      </c>
      <c r="D55" s="10">
        <v>6.09</v>
      </c>
      <c r="E55" s="10">
        <v>6.17</v>
      </c>
      <c r="F55" s="10">
        <v>6.17</v>
      </c>
      <c r="G55">
        <v>2372500</v>
      </c>
      <c r="H55" s="10">
        <f>IF(tbl_LLNW[[#This Row],[Date]]=$A$5, $F55, EMA_Beta*$H54 + (1-EMA_Beta)*$F55)</f>
        <v>6.0253332022716082</v>
      </c>
      <c r="I55" s="46">
        <f ca="1">IF(tbl_LLNW[[#This Row],[RS]]= "", "", 100-(100/(1+tbl_LLNW[[#This Row],[RS]])))</f>
        <v>58.506224066390047</v>
      </c>
      <c r="J55" s="10">
        <f ca="1">IF(ROW($N55)-4&lt;BB_Periods, "", AVERAGE(INDIRECT(ADDRESS(ROW($F55)-RSI_Periods +1, MATCH("Adj Close", Price_Header,0))): INDIRECT(ADDRESS(ROW($F55),MATCH("Adj Close", Price_Header,0)))))</f>
        <v>6.0250000000000004</v>
      </c>
      <c r="K55" s="10">
        <f ca="1">IF(tbl_LLNW[[#This Row],[BB_Mean]]="", "", tbl_LLNW[[#This Row],[BB_Mean]]+(BB_Width*tbl_LLNW[[#This Row],[BB_Stdev]]))</f>
        <v>6.6901662603035081</v>
      </c>
      <c r="L55" s="10">
        <f ca="1">IF(tbl_LLNW[[#This Row],[BB_Mean]]="", "", tbl_LLNW[[#This Row],[BB_Mean]]-(BB_Width*tbl_LLNW[[#This Row],[BB_Stdev]]))</f>
        <v>5.3598337396964926</v>
      </c>
      <c r="M55" s="46">
        <f>IF(ROW(tbl_LLNW[[#This Row],[Adj Close]])=5, 0, $F55-$F54)</f>
        <v>4.9999999999999822E-2</v>
      </c>
      <c r="N55" s="46">
        <f>MAX(tbl_LLNW[[#This Row],[Move]],0)</f>
        <v>4.9999999999999822E-2</v>
      </c>
      <c r="O55" s="46">
        <f>MAX(-tbl_LLNW[[#This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0.10071428571428566</v>
      </c>
      <c r="Q55" s="46">
        <f ca="1">IF(ROW($O55)-5&lt;RSI_Periods, "", AVERAGE(INDIRECT(ADDRESS(ROW($O55)-RSI_Periods +1, MATCH("Downmove", Price_Header,0))): INDIRECT(ADDRESS(ROW($O55),MATCH("Downmove", Price_Header,0)))))</f>
        <v>7.1428571428571369E-2</v>
      </c>
      <c r="R55" s="46">
        <f ca="1">IF(tbl_LLNW[[#This Row],[Avg_Upmove]]="", "", tbl_LLNW[[#This Row],[Avg_Upmove]]/tbl_LLNW[[#This Row],[Avg_Downmove]])</f>
        <v>1.4100000000000004</v>
      </c>
      <c r="S55" s="10">
        <f ca="1">IF(ROW($N55)-4&lt;BB_Periods, "", _xlfn.STDEV.S(INDIRECT(ADDRESS(ROW($F55)-RSI_Periods +1, MATCH("Adj Close", Price_Header,0))): INDIRECT(ADDRESS(ROW($F55),MATCH("Adj Close", Price_Header,0)))))</f>
        <v>0.33258313015175384</v>
      </c>
    </row>
    <row r="56" spans="1:19" x14ac:dyDescent="0.35">
      <c r="A56" s="8">
        <v>44125</v>
      </c>
      <c r="B56" s="10">
        <v>6.23</v>
      </c>
      <c r="C56" s="10">
        <v>6.32</v>
      </c>
      <c r="D56" s="10">
        <v>6.08</v>
      </c>
      <c r="E56" s="10">
        <v>6.12</v>
      </c>
      <c r="F56" s="10">
        <v>6.12</v>
      </c>
      <c r="G56">
        <v>2741600</v>
      </c>
      <c r="H56" s="10">
        <f>IF(tbl_LLNW[[#This Row],[Date]]=$A$5, $F56, EMA_Beta*$H55 + (1-EMA_Beta)*$F56)</f>
        <v>6.0347998820444477</v>
      </c>
      <c r="I56" s="46">
        <f ca="1">IF(tbl_LLNW[[#This Row],[RS]]= "", "", 100-(100/(1+tbl_LLNW[[#This Row],[RS]])))</f>
        <v>56.611570247933898</v>
      </c>
      <c r="J56" s="10">
        <f ca="1">IF(ROW($N56)-4&lt;BB_Periods, "", AVERAGE(INDIRECT(ADDRESS(ROW($F56)-RSI_Periods +1, MATCH("Adj Close", Price_Header,0))): INDIRECT(ADDRESS(ROW($F56),MATCH("Adj Close", Price_Header,0)))))</f>
        <v>6.0478571428571444</v>
      </c>
      <c r="K56" s="10">
        <f ca="1">IF(tbl_LLNW[[#This Row],[BB_Mean]]="", "", tbl_LLNW[[#This Row],[BB_Mean]]+(BB_Width*tbl_LLNW[[#This Row],[BB_Stdev]]))</f>
        <v>6.701612146199837</v>
      </c>
      <c r="L56" s="10">
        <f ca="1">IF(tbl_LLNW[[#This Row],[BB_Mean]]="", "", tbl_LLNW[[#This Row],[BB_Mean]]-(BB_Width*tbl_LLNW[[#This Row],[BB_Stdev]]))</f>
        <v>5.3941021395144517</v>
      </c>
      <c r="M56" s="46">
        <f>IF(ROW(tbl_LLNW[[#This Row],[Adj Close]])=5, 0, $F56-$F55)</f>
        <v>-4.9999999999999822E-2</v>
      </c>
      <c r="N56" s="46">
        <f>MAX(tbl_LLNW[[#This Row],[Move]],0)</f>
        <v>0</v>
      </c>
      <c r="O56" s="46">
        <f>MAX(-tbl_LLNW[[#This Row],[Move]],0)</f>
        <v>4.9999999999999822E-2</v>
      </c>
      <c r="P56" s="46">
        <f ca="1">IF(ROW($N56)-5&lt;RSI_Periods, "", AVERAGE(INDIRECT(ADDRESS(ROW($N56)-RSI_Periods +1, MATCH("Upmove", Price_Header,0))): INDIRECT(ADDRESS(ROW($N56),MATCH("Upmove", Price_Header,0)))))</f>
        <v>9.7857142857142795E-2</v>
      </c>
      <c r="Q56" s="46">
        <f ca="1">IF(ROW($O56)-5&lt;RSI_Periods, "", AVERAGE(INDIRECT(ADDRESS(ROW($O56)-RSI_Periods +1, MATCH("Downmove", Price_Header,0))): INDIRECT(ADDRESS(ROW($O56),MATCH("Downmove", Price_Header,0)))))</f>
        <v>7.4999999999999928E-2</v>
      </c>
      <c r="R56" s="46">
        <f ca="1">IF(tbl_LLNW[[#This Row],[Avg_Upmove]]="", "", tbl_LLNW[[#This Row],[Avg_Upmove]]/tbl_LLNW[[#This Row],[Avg_Downmove]])</f>
        <v>1.3047619047619052</v>
      </c>
      <c r="S56" s="10">
        <f ca="1">IF(ROW($N56)-4&lt;BB_Periods, "", _xlfn.STDEV.S(INDIRECT(ADDRESS(ROW($F56)-RSI_Periods +1, MATCH("Adj Close", Price_Header,0))): INDIRECT(ADDRESS(ROW($F56),MATCH("Adj Close", Price_Header,0)))))</f>
        <v>0.32687750167134644</v>
      </c>
    </row>
    <row r="57" spans="1:19" x14ac:dyDescent="0.35">
      <c r="A57" s="8">
        <v>44126</v>
      </c>
      <c r="B57" s="10">
        <v>6.22</v>
      </c>
      <c r="C57" s="10">
        <v>6.23</v>
      </c>
      <c r="D57" s="10">
        <v>5.82</v>
      </c>
      <c r="E57" s="10">
        <v>6.18</v>
      </c>
      <c r="F57" s="10">
        <v>6.18</v>
      </c>
      <c r="G57">
        <v>9271300</v>
      </c>
      <c r="H57" s="10">
        <f>IF(tbl_LLNW[[#This Row],[Date]]=$A$5, $F57, EMA_Beta*$H56 + (1-EMA_Beta)*$F57)</f>
        <v>6.0493198938400035</v>
      </c>
      <c r="I57" s="46">
        <f ca="1">IF(tbl_LLNW[[#This Row],[RS]]= "", "", 100-(100/(1+tbl_LLNW[[#This Row],[RS]])))</f>
        <v>62.719298245614048</v>
      </c>
      <c r="J57" s="10">
        <f ca="1">IF(ROW($N57)-4&lt;BB_Periods, "", AVERAGE(INDIRECT(ADDRESS(ROW($F57)-RSI_Periods +1, MATCH("Adj Close", Price_Header,0))): INDIRECT(ADDRESS(ROW($F57),MATCH("Adj Close", Price_Header,0)))))</f>
        <v>6.0892857142857144</v>
      </c>
      <c r="K57" s="10">
        <f ca="1">IF(tbl_LLNW[[#This Row],[BB_Mean]]="", "", tbl_LLNW[[#This Row],[BB_Mean]]+(BB_Width*tbl_LLNW[[#This Row],[BB_Stdev]]))</f>
        <v>6.692327454681303</v>
      </c>
      <c r="L57" s="10">
        <f ca="1">IF(tbl_LLNW[[#This Row],[BB_Mean]]="", "", tbl_LLNW[[#This Row],[BB_Mean]]-(BB_Width*tbl_LLNW[[#This Row],[BB_Stdev]]))</f>
        <v>5.4862439738901259</v>
      </c>
      <c r="M57" s="46">
        <f>IF(ROW(tbl_LLNW[[#This Row],[Adj Close]])=5, 0, $F57-$F56)</f>
        <v>5.9999999999999609E-2</v>
      </c>
      <c r="N57" s="46">
        <f>MAX(tbl_LLNW[[#This Row],[Move]],0)</f>
        <v>5.9999999999999609E-2</v>
      </c>
      <c r="O57" s="46">
        <f>MAX(-tbl_LLNW[[#This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0.10214285714285706</v>
      </c>
      <c r="Q57" s="46">
        <f ca="1">IF(ROW($O57)-5&lt;RSI_Periods, "", AVERAGE(INDIRECT(ADDRESS(ROW($O57)-RSI_Periods +1, MATCH("Downmove", Price_Header,0))): INDIRECT(ADDRESS(ROW($O57),MATCH("Downmove", Price_Header,0)))))</f>
        <v>6.0714285714285623E-2</v>
      </c>
      <c r="R57" s="46">
        <f ca="1">IF(tbl_LLNW[[#This Row],[Avg_Upmove]]="", "", tbl_LLNW[[#This Row],[Avg_Upmove]]/tbl_LLNW[[#This Row],[Avg_Downmove]])</f>
        <v>1.6823529411764717</v>
      </c>
      <c r="S57" s="10">
        <f ca="1">IF(ROW($N57)-4&lt;BB_Periods, "", _xlfn.STDEV.S(INDIRECT(ADDRESS(ROW($F57)-RSI_Periods +1, MATCH("Adj Close", Price_Header,0))): INDIRECT(ADDRESS(ROW($F57),MATCH("Adj Close", Price_Header,0)))))</f>
        <v>0.30152087019779428</v>
      </c>
    </row>
    <row r="58" spans="1:19" x14ac:dyDescent="0.35">
      <c r="A58" s="8">
        <v>44127</v>
      </c>
      <c r="B58" s="10">
        <v>4.74</v>
      </c>
      <c r="C58" s="10">
        <v>4.87</v>
      </c>
      <c r="D58" s="10">
        <v>4.18</v>
      </c>
      <c r="E58" s="10">
        <v>4.2</v>
      </c>
      <c r="F58" s="10">
        <v>4.2</v>
      </c>
      <c r="G58">
        <v>37357300</v>
      </c>
      <c r="H58" s="10">
        <f>IF(tbl_LLNW[[#This Row],[Date]]=$A$5, $F58, EMA_Beta*$H57 + (1-EMA_Beta)*$F58)</f>
        <v>5.8643879044560032</v>
      </c>
      <c r="I58" s="46">
        <f ca="1">IF(tbl_LLNW[[#This Row],[RS]]= "", "", 100-(100/(1+tbl_LLNW[[#This Row],[RS]])))</f>
        <v>34.375</v>
      </c>
      <c r="J58" s="10">
        <f ca="1">IF(ROW($N58)-4&lt;BB_Periods, "", AVERAGE(INDIRECT(ADDRESS(ROW($F58)-RSI_Periods +1, MATCH("Adj Close", Price_Header,0))): INDIRECT(ADDRESS(ROW($F58),MATCH("Adj Close", Price_Header,0)))))</f>
        <v>5.9964285714285719</v>
      </c>
      <c r="K58" s="10">
        <f ca="1">IF(tbl_LLNW[[#This Row],[BB_Mean]]="", "", tbl_LLNW[[#This Row],[BB_Mean]]+(BB_Width*tbl_LLNW[[#This Row],[BB_Stdev]]))</f>
        <v>7.1444464523629474</v>
      </c>
      <c r="L58" s="10">
        <f ca="1">IF(tbl_LLNW[[#This Row],[BB_Mean]]="", "", tbl_LLNW[[#This Row],[BB_Mean]]-(BB_Width*tbl_LLNW[[#This Row],[BB_Stdev]]))</f>
        <v>4.8484106904941964</v>
      </c>
      <c r="M58" s="46">
        <f>IF(ROW(tbl_LLNW[[#This Row],[Adj Close]])=5, 0, $F58-$F57)</f>
        <v>-1.9799999999999995</v>
      </c>
      <c r="N58" s="46">
        <f>MAX(tbl_LLNW[[#This Row],[Move]],0)</f>
        <v>0</v>
      </c>
      <c r="O58" s="46">
        <f>MAX(-tbl_LLNW[[#This Row],[Move]],0)</f>
        <v>1.9799999999999995</v>
      </c>
      <c r="P58" s="46">
        <f ca="1">IF(ROW($N58)-5&lt;RSI_Periods, "", AVERAGE(INDIRECT(ADDRESS(ROW($N58)-RSI_Periods +1, MATCH("Upmove", Price_Header,0))): INDIRECT(ADDRESS(ROW($N58),MATCH("Upmove", Price_Header,0)))))</f>
        <v>0.10214285714285706</v>
      </c>
      <c r="Q58" s="46">
        <f ca="1">IF(ROW($O58)-5&lt;RSI_Periods, "", AVERAGE(INDIRECT(ADDRESS(ROW($O58)-RSI_Periods +1, MATCH("Downmove", Price_Header,0))): INDIRECT(ADDRESS(ROW($O58),MATCH("Downmove", Price_Header,0)))))</f>
        <v>0.1949999999999999</v>
      </c>
      <c r="R58" s="46">
        <f ca="1">IF(tbl_LLNW[[#This Row],[Avg_Upmove]]="", "", tbl_LLNW[[#This Row],[Avg_Upmove]]/tbl_LLNW[[#This Row],[Avg_Downmove]])</f>
        <v>0.52380952380952372</v>
      </c>
      <c r="S58" s="10">
        <f ca="1">IF(ROW($N58)-4&lt;BB_Periods, "", _xlfn.STDEV.S(INDIRECT(ADDRESS(ROW($F58)-RSI_Periods +1, MATCH("Adj Close", Price_Header,0))): INDIRECT(ADDRESS(ROW($F58),MATCH("Adj Close", Price_Header,0)))))</f>
        <v>0.57400894046718787</v>
      </c>
    </row>
    <row r="59" spans="1:19" x14ac:dyDescent="0.35">
      <c r="A59" s="8">
        <v>44130</v>
      </c>
      <c r="B59" s="10">
        <v>4.26</v>
      </c>
      <c r="C59" s="10">
        <v>4.26</v>
      </c>
      <c r="D59" s="10">
        <v>3.82</v>
      </c>
      <c r="E59" s="10">
        <v>3.89</v>
      </c>
      <c r="F59" s="10">
        <v>3.89</v>
      </c>
      <c r="G59">
        <v>21855300</v>
      </c>
      <c r="H59" s="10">
        <f>IF(tbl_LLNW[[#This Row],[Date]]=$A$5, $F59, EMA_Beta*$H58 + (1-EMA_Beta)*$F59)</f>
        <v>5.6669491140104036</v>
      </c>
      <c r="I59" s="46">
        <f ca="1">IF(tbl_LLNW[[#This Row],[RS]]= "", "", 100-(100/(1+tbl_LLNW[[#This Row],[RS]])))</f>
        <v>29.466357308584676</v>
      </c>
      <c r="J59" s="10">
        <f ca="1">IF(ROW($N59)-4&lt;BB_Periods, "", AVERAGE(INDIRECT(ADDRESS(ROW($F59)-RSI_Periods +1, MATCH("Adj Close", Price_Header,0))): INDIRECT(ADDRESS(ROW($F59),MATCH("Adj Close", Price_Header,0)))))</f>
        <v>5.87</v>
      </c>
      <c r="K59" s="10">
        <f ca="1">IF(tbl_LLNW[[#This Row],[BB_Mean]]="", "", tbl_LLNW[[#This Row],[BB_Mean]]+(BB_Width*tbl_LLNW[[#This Row],[BB_Stdev]]))</f>
        <v>7.4760845844187891</v>
      </c>
      <c r="L59" s="10">
        <f ca="1">IF(tbl_LLNW[[#This Row],[BB_Mean]]="", "", tbl_LLNW[[#This Row],[BB_Mean]]-(BB_Width*tbl_LLNW[[#This Row],[BB_Stdev]]))</f>
        <v>4.2639154155812111</v>
      </c>
      <c r="M59" s="46">
        <f>IF(ROW(tbl_LLNW[[#This Row],[Adj Close]])=5, 0, $F59-$F58)</f>
        <v>-0.31000000000000005</v>
      </c>
      <c r="N59" s="46">
        <f>MAX(tbl_LLNW[[#This Row],[Move]],0)</f>
        <v>0</v>
      </c>
      <c r="O59" s="46">
        <f>MAX(-tbl_LLNW[[#This Row],[Move]],0)</f>
        <v>0.31000000000000005</v>
      </c>
      <c r="P59" s="46">
        <f ca="1">IF(ROW($N59)-5&lt;RSI_Periods, "", AVERAGE(INDIRECT(ADDRESS(ROW($N59)-RSI_Periods +1, MATCH("Upmove", Price_Header,0))): INDIRECT(ADDRESS(ROW($N59),MATCH("Upmove", Price_Header,0)))))</f>
        <v>9.0714285714285622E-2</v>
      </c>
      <c r="Q59" s="46">
        <f ca="1">IF(ROW($O59)-5&lt;RSI_Periods, "", AVERAGE(INDIRECT(ADDRESS(ROW($O59)-RSI_Periods +1, MATCH("Downmove", Price_Header,0))): INDIRECT(ADDRESS(ROW($O59),MATCH("Downmove", Price_Header,0)))))</f>
        <v>0.21714285714285705</v>
      </c>
      <c r="R59" s="46">
        <f ca="1">IF(tbl_LLNW[[#This Row],[Avg_Upmove]]="", "", tbl_LLNW[[#This Row],[Avg_Upmove]]/tbl_LLNW[[#This Row],[Avg_Downmove]])</f>
        <v>0.41776315789473661</v>
      </c>
      <c r="S59" s="10">
        <f ca="1">IF(ROW($N59)-4&lt;BB_Periods, "", _xlfn.STDEV.S(INDIRECT(ADDRESS(ROW($F59)-RSI_Periods +1, MATCH("Adj Close", Price_Header,0))): INDIRECT(ADDRESS(ROW($F59),MATCH("Adj Close", Price_Header,0)))))</f>
        <v>0.80304229220939427</v>
      </c>
    </row>
    <row r="60" spans="1:19" x14ac:dyDescent="0.35">
      <c r="A60" s="8">
        <v>44131</v>
      </c>
      <c r="B60" s="10">
        <v>3.91</v>
      </c>
      <c r="C60" s="10">
        <v>4.0999999999999996</v>
      </c>
      <c r="D60" s="10">
        <v>3.83</v>
      </c>
      <c r="E60" s="10">
        <v>3.93</v>
      </c>
      <c r="F60" s="10">
        <v>3.93</v>
      </c>
      <c r="G60">
        <v>8880300</v>
      </c>
      <c r="H60" s="10">
        <f>IF(tbl_LLNW[[#This Row],[Date]]=$A$5, $F60, EMA_Beta*$H59 + (1-EMA_Beta)*$F60)</f>
        <v>5.4932542026093634</v>
      </c>
      <c r="I60" s="46">
        <f ca="1">IF(tbl_LLNW[[#This Row],[RS]]= "", "", 100-(100/(1+tbl_LLNW[[#This Row],[RS]])))</f>
        <v>26.746987951807213</v>
      </c>
      <c r="J60" s="10">
        <f ca="1">IF(ROW($N60)-4&lt;BB_Periods, "", AVERAGE(INDIRECT(ADDRESS(ROW($F60)-RSI_Periods +1, MATCH("Adj Close", Price_Header,0))): INDIRECT(ADDRESS(ROW($F60),MATCH("Adj Close", Price_Header,0)))))</f>
        <v>5.7321428571428568</v>
      </c>
      <c r="K60" s="10">
        <f ca="1">IF(tbl_LLNW[[#This Row],[BB_Mean]]="", "", tbl_LLNW[[#This Row],[BB_Mean]]+(BB_Width*tbl_LLNW[[#This Row],[BB_Stdev]]))</f>
        <v>7.6441161200944521</v>
      </c>
      <c r="L60" s="10">
        <f ca="1">IF(tbl_LLNW[[#This Row],[BB_Mean]]="", "", tbl_LLNW[[#This Row],[BB_Mean]]-(BB_Width*tbl_LLNW[[#This Row],[BB_Stdev]]))</f>
        <v>3.8201695941912615</v>
      </c>
      <c r="M60" s="46">
        <f>IF(ROW(tbl_LLNW[[#This Row],[Adj Close]])=5, 0, $F60-$F59)</f>
        <v>4.0000000000000036E-2</v>
      </c>
      <c r="N60" s="46">
        <f>MAX(tbl_LLNW[[#This Row],[Move]],0)</f>
        <v>4.0000000000000036E-2</v>
      </c>
      <c r="O60" s="46">
        <f>MAX(-tbl_LLNW[[#This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7.9285714285714182E-2</v>
      </c>
      <c r="Q60" s="46">
        <f ca="1">IF(ROW($O60)-5&lt;RSI_Periods, "", AVERAGE(INDIRECT(ADDRESS(ROW($O60)-RSI_Periods +1, MATCH("Downmove", Price_Header,0))): INDIRECT(ADDRESS(ROW($O60),MATCH("Downmove", Price_Header,0)))))</f>
        <v>0.21714285714285705</v>
      </c>
      <c r="R60" s="46">
        <f ca="1">IF(tbl_LLNW[[#This Row],[Avg_Upmove]]="", "", tbl_LLNW[[#This Row],[Avg_Upmove]]/tbl_LLNW[[#This Row],[Avg_Downmove]])</f>
        <v>0.36513157894736809</v>
      </c>
      <c r="S60" s="10">
        <f ca="1">IF(ROW($N60)-4&lt;BB_Periods, "", _xlfn.STDEV.S(INDIRECT(ADDRESS(ROW($F60)-RSI_Periods +1, MATCH("Adj Close", Price_Header,0))): INDIRECT(ADDRESS(ROW($F60),MATCH("Adj Close", Price_Header,0)))))</f>
        <v>0.95598663147579765</v>
      </c>
    </row>
    <row r="61" spans="1:19" x14ac:dyDescent="0.35">
      <c r="A61" s="8">
        <v>44132</v>
      </c>
      <c r="B61" s="10">
        <v>3.78</v>
      </c>
      <c r="C61" s="10">
        <v>3.88</v>
      </c>
      <c r="D61" s="10">
        <v>3.62</v>
      </c>
      <c r="E61" s="10">
        <v>3.68</v>
      </c>
      <c r="F61" s="10">
        <v>3.68</v>
      </c>
      <c r="G61">
        <v>8817400</v>
      </c>
      <c r="H61" s="10">
        <f>IF(tbl_LLNW[[#This Row],[Date]]=$A$5, $F61, EMA_Beta*$H60 + (1-EMA_Beta)*$F61)</f>
        <v>5.3119287823484278</v>
      </c>
      <c r="I61" s="46">
        <f ca="1">IF(tbl_LLNW[[#This Row],[RS]]= "", "", 100-(100/(1+tbl_LLNW[[#This Row],[RS]])))</f>
        <v>24.193548387096769</v>
      </c>
      <c r="J61" s="10">
        <f ca="1">IF(ROW($N61)-4&lt;BB_Periods, "", AVERAGE(INDIRECT(ADDRESS(ROW($F61)-RSI_Periods +1, MATCH("Adj Close", Price_Header,0))): INDIRECT(ADDRESS(ROW($F61),MATCH("Adj Close", Price_Header,0)))))</f>
        <v>5.5721428571428575</v>
      </c>
      <c r="K61" s="10">
        <f ca="1">IF(tbl_LLNW[[#This Row],[BB_Mean]]="", "", tbl_LLNW[[#This Row],[BB_Mean]]+(BB_Width*tbl_LLNW[[#This Row],[BB_Stdev]]))</f>
        <v>7.7699344560183956</v>
      </c>
      <c r="L61" s="10">
        <f ca="1">IF(tbl_LLNW[[#This Row],[BB_Mean]]="", "", tbl_LLNW[[#This Row],[BB_Mean]]-(BB_Width*tbl_LLNW[[#This Row],[BB_Stdev]]))</f>
        <v>3.374351258267319</v>
      </c>
      <c r="M61" s="46">
        <f>IF(ROW(tbl_LLNW[[#This Row],[Adj Close]])=5, 0, $F61-$F60)</f>
        <v>-0.25</v>
      </c>
      <c r="N61" s="46">
        <f>MAX(tbl_LLNW[[#This Row],[Move]],0)</f>
        <v>0</v>
      </c>
      <c r="O61" s="46">
        <f>MAX(-tbl_LLNW[[#This Row],[Move]],0)</f>
        <v>0.25</v>
      </c>
      <c r="P61" s="46">
        <f ca="1">IF(ROW($N61)-5&lt;RSI_Periods, "", AVERAGE(INDIRECT(ADDRESS(ROW($N61)-RSI_Periods +1, MATCH("Upmove", Price_Header,0))): INDIRECT(ADDRESS(ROW($N61),MATCH("Upmove", Price_Header,0)))))</f>
        <v>7.4999999999999928E-2</v>
      </c>
      <c r="Q61" s="46">
        <f ca="1">IF(ROW($O61)-5&lt;RSI_Periods, "", AVERAGE(INDIRECT(ADDRESS(ROW($O61)-RSI_Periods +1, MATCH("Downmove", Price_Header,0))): INDIRECT(ADDRESS(ROW($O61),MATCH("Downmove", Price_Header,0)))))</f>
        <v>0.2349999999999999</v>
      </c>
      <c r="R61" s="46">
        <f ca="1">IF(tbl_LLNW[[#This Row],[Avg_Upmove]]="", "", tbl_LLNW[[#This Row],[Avg_Upmove]]/tbl_LLNW[[#This Row],[Avg_Downmove]])</f>
        <v>0.31914893617021262</v>
      </c>
      <c r="S61" s="10">
        <f ca="1">IF(ROW($N61)-4&lt;BB_Periods, "", _xlfn.STDEV.S(INDIRECT(ADDRESS(ROW($F61)-RSI_Periods +1, MATCH("Adj Close", Price_Header,0))): INDIRECT(ADDRESS(ROW($F61),MATCH("Adj Close", Price_Header,0)))))</f>
        <v>1.0988957994377693</v>
      </c>
    </row>
    <row r="62" spans="1:19" x14ac:dyDescent="0.35">
      <c r="A62" s="8">
        <v>44133</v>
      </c>
      <c r="B62" s="10">
        <v>3.7</v>
      </c>
      <c r="C62" s="10">
        <v>3.73</v>
      </c>
      <c r="D62" s="10">
        <v>3.6</v>
      </c>
      <c r="E62" s="10">
        <v>3.72</v>
      </c>
      <c r="F62" s="10">
        <v>3.72</v>
      </c>
      <c r="G62">
        <v>4754500</v>
      </c>
      <c r="H62" s="10">
        <f>IF(tbl_LLNW[[#This Row],[Date]]=$A$5, $F62, EMA_Beta*$H61 + (1-EMA_Beta)*$F62)</f>
        <v>5.1527359041135847</v>
      </c>
      <c r="I62" s="46">
        <f ca="1">IF(tbl_LLNW[[#This Row],[RS]]= "", "", 100-(100/(1+tbl_LLNW[[#This Row],[RS]])))</f>
        <v>17.336683417085396</v>
      </c>
      <c r="J62" s="10">
        <f ca="1">IF(ROW($N62)-4&lt;BB_Periods, "", AVERAGE(INDIRECT(ADDRESS(ROW($F62)-RSI_Periods +1, MATCH("Adj Close", Price_Header,0))): INDIRECT(ADDRESS(ROW($F62),MATCH("Adj Close", Price_Header,0)))))</f>
        <v>5.3864285714285725</v>
      </c>
      <c r="K62" s="10">
        <f ca="1">IF(tbl_LLNW[[#This Row],[BB_Mean]]="", "", tbl_LLNW[[#This Row],[BB_Mean]]+(BB_Width*tbl_LLNW[[#This Row],[BB_Stdev]]))</f>
        <v>7.7454845383240176</v>
      </c>
      <c r="L62" s="10">
        <f ca="1">IF(tbl_LLNW[[#This Row],[BB_Mean]]="", "", tbl_LLNW[[#This Row],[BB_Mean]]-(BB_Width*tbl_LLNW[[#This Row],[BB_Stdev]]))</f>
        <v>3.0273726045331277</v>
      </c>
      <c r="M62" s="46">
        <f>IF(ROW(tbl_LLNW[[#This Row],[Adj Close]])=5, 0, $F62-$F61)</f>
        <v>4.0000000000000036E-2</v>
      </c>
      <c r="N62" s="46">
        <f>MAX(tbl_LLNW[[#This Row],[Move]],0)</f>
        <v>4.0000000000000036E-2</v>
      </c>
      <c r="O62" s="46">
        <f>MAX(-tbl_LLNW[[#This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4.928571428571419E-2</v>
      </c>
      <c r="Q62" s="46">
        <f ca="1">IF(ROW($O62)-5&lt;RSI_Periods, "", AVERAGE(INDIRECT(ADDRESS(ROW($O62)-RSI_Periods +1, MATCH("Downmove", Price_Header,0))): INDIRECT(ADDRESS(ROW($O62),MATCH("Downmove", Price_Header,0)))))</f>
        <v>0.2349999999999999</v>
      </c>
      <c r="R62" s="46">
        <f ca="1">IF(tbl_LLNW[[#This Row],[Avg_Upmove]]="", "", tbl_LLNW[[#This Row],[Avg_Upmove]]/tbl_LLNW[[#This Row],[Avg_Downmove]])</f>
        <v>0.20972644376899663</v>
      </c>
      <c r="S62" s="10">
        <f ca="1">IF(ROW($N62)-4&lt;BB_Periods, "", _xlfn.STDEV.S(INDIRECT(ADDRESS(ROW($F62)-RSI_Periods +1, MATCH("Adj Close", Price_Header,0))): INDIRECT(ADDRESS(ROW($F62),MATCH("Adj Close", Price_Header,0)))))</f>
        <v>1.1795279834477224</v>
      </c>
    </row>
    <row r="63" spans="1:19" x14ac:dyDescent="0.35">
      <c r="A63" s="8">
        <v>44134</v>
      </c>
      <c r="B63" s="10">
        <v>3.68</v>
      </c>
      <c r="C63" s="10">
        <v>3.7</v>
      </c>
      <c r="D63" s="10">
        <v>3.43</v>
      </c>
      <c r="E63" s="10">
        <v>3.53</v>
      </c>
      <c r="F63" s="10">
        <v>3.53</v>
      </c>
      <c r="G63">
        <v>7429900</v>
      </c>
      <c r="H63" s="10">
        <f>IF(tbl_LLNW[[#This Row],[Date]]=$A$5, $F63, EMA_Beta*$H62 + (1-EMA_Beta)*$F63)</f>
        <v>4.9904623137022259</v>
      </c>
      <c r="I63" s="46">
        <f ca="1">IF(tbl_LLNW[[#This Row],[RS]]= "", "", 100-(100/(1+tbl_LLNW[[#This Row],[RS]])))</f>
        <v>15.942028985507235</v>
      </c>
      <c r="J63" s="10">
        <f ca="1">IF(ROW($N63)-4&lt;BB_Periods, "", AVERAGE(INDIRECT(ADDRESS(ROW($F63)-RSI_Periods +1, MATCH("Adj Close", Price_Header,0))): INDIRECT(ADDRESS(ROW($F63),MATCH("Adj Close", Price_Header,0)))))</f>
        <v>5.1850000000000005</v>
      </c>
      <c r="K63" s="10">
        <f ca="1">IF(tbl_LLNW[[#This Row],[BB_Mean]]="", "", tbl_LLNW[[#This Row],[BB_Mean]]+(BB_Width*tbl_LLNW[[#This Row],[BB_Stdev]]))</f>
        <v>7.6679603918895456</v>
      </c>
      <c r="L63" s="10">
        <f ca="1">IF(tbl_LLNW[[#This Row],[BB_Mean]]="", "", tbl_LLNW[[#This Row],[BB_Mean]]-(BB_Width*tbl_LLNW[[#This Row],[BB_Stdev]]))</f>
        <v>2.7020396081104554</v>
      </c>
      <c r="M63" s="46">
        <f>IF(ROW(tbl_LLNW[[#This Row],[Adj Close]])=5, 0, $F63-$F62)</f>
        <v>-0.19000000000000039</v>
      </c>
      <c r="N63" s="46">
        <f>MAX(tbl_LLNW[[#This Row],[Move]],0)</f>
        <v>0</v>
      </c>
      <c r="O63" s="46">
        <f>MAX(-tbl_LLNW[[#This Row],[Move]],0)</f>
        <v>0.19000000000000039</v>
      </c>
      <c r="P63" s="46">
        <f ca="1">IF(ROW($N63)-5&lt;RSI_Periods, "", AVERAGE(INDIRECT(ADDRESS(ROW($N63)-RSI_Periods +1, MATCH("Upmove", Price_Header,0))): INDIRECT(ADDRESS(ROW($N63),MATCH("Upmove", Price_Header,0)))))</f>
        <v>4.7142857142857091E-2</v>
      </c>
      <c r="Q63" s="46">
        <f ca="1">IF(ROW($O63)-5&lt;RSI_Periods, "", AVERAGE(INDIRECT(ADDRESS(ROW($O63)-RSI_Periods +1, MATCH("Downmove", Price_Header,0))): INDIRECT(ADDRESS(ROW($O63),MATCH("Downmove", Price_Header,0)))))</f>
        <v>0.2485714285714285</v>
      </c>
      <c r="R63" s="46">
        <f ca="1">IF(tbl_LLNW[[#This Row],[Avg_Upmove]]="", "", tbl_LLNW[[#This Row],[Avg_Upmove]]/tbl_LLNW[[#This Row],[Avg_Downmove]])</f>
        <v>0.18965517241379296</v>
      </c>
      <c r="S63" s="10">
        <f ca="1">IF(ROW($N63)-4&lt;BB_Periods, "", _xlfn.STDEV.S(INDIRECT(ADDRESS(ROW($F63)-RSI_Periods +1, MATCH("Adj Close", Price_Header,0))): INDIRECT(ADDRESS(ROW($F63),MATCH("Adj Close", Price_Header,0)))))</f>
        <v>1.2414801959447725</v>
      </c>
    </row>
    <row r="64" spans="1:19" x14ac:dyDescent="0.35">
      <c r="A64" s="8">
        <v>44137</v>
      </c>
      <c r="B64" s="10">
        <v>3.54</v>
      </c>
      <c r="C64" s="10">
        <v>3.63</v>
      </c>
      <c r="D64" s="10">
        <v>3.44</v>
      </c>
      <c r="E64" s="10">
        <v>3.63</v>
      </c>
      <c r="F64" s="10">
        <v>3.63</v>
      </c>
      <c r="G64">
        <v>5031500</v>
      </c>
      <c r="H64" s="10">
        <f>IF(tbl_LLNW[[#This Row],[Date]]=$A$5, $F64, EMA_Beta*$H63 + (1-EMA_Beta)*$F64)</f>
        <v>4.8544160823320031</v>
      </c>
      <c r="I64" s="46">
        <f ca="1">IF(tbl_LLNW[[#This Row],[RS]]= "", "", 100-(100/(1+tbl_LLNW[[#This Row],[RS]])))</f>
        <v>10.997442455242947</v>
      </c>
      <c r="J64" s="10">
        <f ca="1">IF(ROW($N64)-4&lt;BB_Periods, "", AVERAGE(INDIRECT(ADDRESS(ROW($F64)-RSI_Periods +1, MATCH("Adj Close", Price_Header,0))): INDIRECT(ADDRESS(ROW($F64),MATCH("Adj Close", Price_Header,0)))))</f>
        <v>4.9671428571428562</v>
      </c>
      <c r="K64" s="10">
        <f ca="1">IF(tbl_LLNW[[#This Row],[BB_Mean]]="", "", tbl_LLNW[[#This Row],[BB_Mean]]+(BB_Width*tbl_LLNW[[#This Row],[BB_Stdev]]))</f>
        <v>7.420089952077733</v>
      </c>
      <c r="L64" s="10">
        <f ca="1">IF(tbl_LLNW[[#This Row],[BB_Mean]]="", "", tbl_LLNW[[#This Row],[BB_Mean]]-(BB_Width*tbl_LLNW[[#This Row],[BB_Stdev]]))</f>
        <v>2.5141957622079789</v>
      </c>
      <c r="M64" s="46">
        <f>IF(ROW(tbl_LLNW[[#This Row],[Adj Close]])=5, 0, $F64-$F63)</f>
        <v>0.10000000000000009</v>
      </c>
      <c r="N64" s="46">
        <f>MAX(tbl_LLNW[[#This Row],[Move]],0)</f>
        <v>0.10000000000000009</v>
      </c>
      <c r="O64" s="46">
        <f>MAX(-tbl_LLNW[[#This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3.0714285714285663E-2</v>
      </c>
      <c r="Q64" s="46">
        <f ca="1">IF(ROW($O64)-5&lt;RSI_Periods, "", AVERAGE(INDIRECT(ADDRESS(ROW($O64)-RSI_Periods +1, MATCH("Downmove", Price_Header,0))): INDIRECT(ADDRESS(ROW($O64),MATCH("Downmove", Price_Header,0)))))</f>
        <v>0.2485714285714285</v>
      </c>
      <c r="R64" s="46">
        <f ca="1">IF(tbl_LLNW[[#This Row],[Avg_Upmove]]="", "", tbl_LLNW[[#This Row],[Avg_Upmove]]/tbl_LLNW[[#This Row],[Avg_Downmove]])</f>
        <v>0.12356321839080443</v>
      </c>
      <c r="S64" s="10">
        <f ca="1">IF(ROW($N64)-4&lt;BB_Periods, "", _xlfn.STDEV.S(INDIRECT(ADDRESS(ROW($F64)-RSI_Periods +1, MATCH("Adj Close", Price_Header,0))): INDIRECT(ADDRESS(ROW($F64),MATCH("Adj Close", Price_Header,0)))))</f>
        <v>1.2264735474674386</v>
      </c>
    </row>
    <row r="65" spans="1:19" x14ac:dyDescent="0.35">
      <c r="A65" s="8">
        <v>44138</v>
      </c>
      <c r="B65" s="10">
        <v>3.68</v>
      </c>
      <c r="C65" s="10">
        <v>3.76</v>
      </c>
      <c r="D65" s="10">
        <v>3.58</v>
      </c>
      <c r="E65" s="10">
        <v>3.72</v>
      </c>
      <c r="F65" s="10">
        <v>3.72</v>
      </c>
      <c r="G65">
        <v>5047800</v>
      </c>
      <c r="H65" s="10">
        <f>IF(tbl_LLNW[[#This Row],[Date]]=$A$5, $F65, EMA_Beta*$H64 + (1-EMA_Beta)*$F65)</f>
        <v>4.7409744740988025</v>
      </c>
      <c r="I65" s="46">
        <f ca="1">IF(tbl_LLNW[[#This Row],[RS]]= "", "", 100-(100/(1+tbl_LLNW[[#This Row],[RS]])))</f>
        <v>14.168937329700256</v>
      </c>
      <c r="J65" s="10">
        <f ca="1">IF(ROW($N65)-4&lt;BB_Periods, "", AVERAGE(INDIRECT(ADDRESS(ROW($F65)-RSI_Periods +1, MATCH("Adj Close", Price_Header,0))): INDIRECT(ADDRESS(ROW($F65),MATCH("Adj Close", Price_Header,0)))))</f>
        <v>4.7792857142857148</v>
      </c>
      <c r="K65" s="10">
        <f ca="1">IF(tbl_LLNW[[#This Row],[BB_Mean]]="", "", tbl_LLNW[[#This Row],[BB_Mean]]+(BB_Width*tbl_LLNW[[#This Row],[BB_Stdev]]))</f>
        <v>7.1782658089312363</v>
      </c>
      <c r="L65" s="10">
        <f ca="1">IF(tbl_LLNW[[#This Row],[BB_Mean]]="", "", tbl_LLNW[[#This Row],[BB_Mean]]-(BB_Width*tbl_LLNW[[#This Row],[BB_Stdev]]))</f>
        <v>2.3803056196401937</v>
      </c>
      <c r="M65" s="46">
        <f>IF(ROW(tbl_LLNW[[#This Row],[Adj Close]])=5, 0, $F65-$F64)</f>
        <v>9.0000000000000302E-2</v>
      </c>
      <c r="N65" s="46">
        <f>MAX(tbl_LLNW[[#This Row],[Move]],0)</f>
        <v>9.0000000000000302E-2</v>
      </c>
      <c r="O65" s="46">
        <f>MAX(-tbl_LLNW[[#This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3.7142857142857109E-2</v>
      </c>
      <c r="Q65" s="46">
        <f ca="1">IF(ROW($O65)-5&lt;RSI_Periods, "", AVERAGE(INDIRECT(ADDRESS(ROW($O65)-RSI_Periods +1, MATCH("Downmove", Price_Header,0))): INDIRECT(ADDRESS(ROW($O65),MATCH("Downmove", Price_Header,0)))))</f>
        <v>0.22499999999999992</v>
      </c>
      <c r="R65" s="46">
        <f ca="1">IF(tbl_LLNW[[#This Row],[Avg_Upmove]]="", "", tbl_LLNW[[#This Row],[Avg_Upmove]]/tbl_LLNW[[#This Row],[Avg_Downmove]])</f>
        <v>0.16507936507936499</v>
      </c>
      <c r="S65" s="10">
        <f ca="1">IF(ROW($N65)-4&lt;BB_Periods, "", _xlfn.STDEV.S(INDIRECT(ADDRESS(ROW($F65)-RSI_Periods +1, MATCH("Adj Close", Price_Header,0))): INDIRECT(ADDRESS(ROW($F65),MATCH("Adj Close", Price_Header,0)))))</f>
        <v>1.1994900473227605</v>
      </c>
    </row>
    <row r="66" spans="1:19" x14ac:dyDescent="0.35">
      <c r="A66" s="8">
        <v>44139</v>
      </c>
      <c r="B66" s="10">
        <v>3.73</v>
      </c>
      <c r="C66" s="10">
        <v>3.83</v>
      </c>
      <c r="D66" s="10">
        <v>3.66</v>
      </c>
      <c r="E66" s="10">
        <v>3.72</v>
      </c>
      <c r="F66" s="10">
        <v>3.72</v>
      </c>
      <c r="G66">
        <v>4318700</v>
      </c>
      <c r="H66" s="10">
        <f>IF(tbl_LLNW[[#This Row],[Date]]=$A$5, $F66, EMA_Beta*$H65 + (1-EMA_Beta)*$F66)</f>
        <v>4.6388770266889221</v>
      </c>
      <c r="I66" s="46">
        <f ca="1">IF(tbl_LLNW[[#This Row],[RS]]= "", "", 100-(100/(1+tbl_LLNW[[#This Row],[RS]])))</f>
        <v>15.476190476190453</v>
      </c>
      <c r="J66" s="10">
        <f ca="1">IF(ROW($N66)-4&lt;BB_Periods, "", AVERAGE(INDIRECT(ADDRESS(ROW($F66)-RSI_Periods +1, MATCH("Adj Close", Price_Header,0))): INDIRECT(ADDRESS(ROW($F66),MATCH("Adj Close", Price_Header,0)))))</f>
        <v>4.6135714285714284</v>
      </c>
      <c r="K66" s="10">
        <f ca="1">IF(tbl_LLNW[[#This Row],[BB_Mean]]="", "", tbl_LLNW[[#This Row],[BB_Mean]]+(BB_Width*tbl_LLNW[[#This Row],[BB_Stdev]]))</f>
        <v>6.9572911170200973</v>
      </c>
      <c r="L66" s="10">
        <f ca="1">IF(tbl_LLNW[[#This Row],[BB_Mean]]="", "", tbl_LLNW[[#This Row],[BB_Mean]]-(BB_Width*tbl_LLNW[[#This Row],[BB_Stdev]]))</f>
        <v>2.2698517401227596</v>
      </c>
      <c r="M66" s="46">
        <f>IF(ROW(tbl_LLNW[[#This Row],[Adj Close]])=5, 0, $F66-$F65)</f>
        <v>0</v>
      </c>
      <c r="N66" s="46">
        <f>MAX(tbl_LLNW[[#This Row],[Move]],0)</f>
        <v>0</v>
      </c>
      <c r="O66" s="46">
        <f>MAX(-tbl_LLNW[[#This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3.7142857142857109E-2</v>
      </c>
      <c r="Q66" s="46">
        <f ca="1">IF(ROW($O66)-5&lt;RSI_Periods, "", AVERAGE(INDIRECT(ADDRESS(ROW($O66)-RSI_Periods +1, MATCH("Downmove", Price_Header,0))): INDIRECT(ADDRESS(ROW($O66),MATCH("Downmove", Price_Header,0)))))</f>
        <v>0.20285714285714282</v>
      </c>
      <c r="R66" s="46">
        <f ca="1">IF(tbl_LLNW[[#This Row],[Avg_Upmove]]="", "", tbl_LLNW[[#This Row],[Avg_Upmove]]/tbl_LLNW[[#This Row],[Avg_Downmove]])</f>
        <v>0.18309859154929564</v>
      </c>
      <c r="S66" s="10">
        <f ca="1">IF(ROW($N66)-4&lt;BB_Periods, "", _xlfn.STDEV.S(INDIRECT(ADDRESS(ROW($F66)-RSI_Periods +1, MATCH("Adj Close", Price_Header,0))): INDIRECT(ADDRESS(ROW($F66),MATCH("Adj Close", Price_Header,0)))))</f>
        <v>1.1718598442243344</v>
      </c>
    </row>
    <row r="67" spans="1:19" x14ac:dyDescent="0.35">
      <c r="A67" s="8">
        <v>44140</v>
      </c>
      <c r="B67" s="10">
        <v>3.77</v>
      </c>
      <c r="C67" s="10">
        <v>3.98</v>
      </c>
      <c r="D67" s="10">
        <v>3.71</v>
      </c>
      <c r="E67" s="10">
        <v>3.97</v>
      </c>
      <c r="F67" s="10">
        <v>3.97</v>
      </c>
      <c r="G67">
        <v>5259000</v>
      </c>
      <c r="H67" s="10">
        <f>IF(tbl_LLNW[[#This Row],[Date]]=$A$5, $F67, EMA_Beta*$H66 + (1-EMA_Beta)*$F67)</f>
        <v>4.5719893240200307</v>
      </c>
      <c r="I67" s="46">
        <f ca="1">IF(tbl_LLNW[[#This Row],[RS]]= "", "", 100-(100/(1+tbl_LLNW[[#This Row],[RS]])))</f>
        <v>21.690140845070417</v>
      </c>
      <c r="J67" s="10">
        <f ca="1">IF(ROW($N67)-4&lt;BB_Periods, "", AVERAGE(INDIRECT(ADDRESS(ROW($F67)-RSI_Periods +1, MATCH("Adj Close", Price_Header,0))): INDIRECT(ADDRESS(ROW($F67),MATCH("Adj Close", Price_Header,0)))))</f>
        <v>4.47</v>
      </c>
      <c r="K67" s="10">
        <f ca="1">IF(tbl_LLNW[[#This Row],[BB_Mean]]="", "", tbl_LLNW[[#This Row],[BB_Mean]]+(BB_Width*tbl_LLNW[[#This Row],[BB_Stdev]]))</f>
        <v>6.6964701279759424</v>
      </c>
      <c r="L67" s="10">
        <f ca="1">IF(tbl_LLNW[[#This Row],[BB_Mean]]="", "", tbl_LLNW[[#This Row],[BB_Mean]]-(BB_Width*tbl_LLNW[[#This Row],[BB_Stdev]]))</f>
        <v>2.2435298720240575</v>
      </c>
      <c r="M67" s="46">
        <f>IF(ROW(tbl_LLNW[[#This Row],[Adj Close]])=5, 0, $F67-$F66)</f>
        <v>0.25</v>
      </c>
      <c r="N67" s="46">
        <f>MAX(tbl_LLNW[[#This Row],[Move]],0)</f>
        <v>0.25</v>
      </c>
      <c r="O67" s="46">
        <f>MAX(-tbl_LLNW[[#This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5.4999999999999973E-2</v>
      </c>
      <c r="Q67" s="46">
        <f ca="1">IF(ROW($O67)-5&lt;RSI_Periods, "", AVERAGE(INDIRECT(ADDRESS(ROW($O67)-RSI_Periods +1, MATCH("Downmove", Price_Header,0))): INDIRECT(ADDRESS(ROW($O67),MATCH("Downmove", Price_Header,0)))))</f>
        <v>0.19857142857142857</v>
      </c>
      <c r="R67" s="46">
        <f ca="1">IF(tbl_LLNW[[#This Row],[Avg_Upmove]]="", "", tbl_LLNW[[#This Row],[Avg_Upmove]]/tbl_LLNW[[#This Row],[Avg_Downmove]])</f>
        <v>0.27697841726618694</v>
      </c>
      <c r="S67" s="10">
        <f ca="1">IF(ROW($N67)-4&lt;BB_Periods, "", _xlfn.STDEV.S(INDIRECT(ADDRESS(ROW($F67)-RSI_Periods +1, MATCH("Adj Close", Price_Header,0))): INDIRECT(ADDRESS(ROW($F67),MATCH("Adj Close", Price_Header,0)))))</f>
        <v>1.1132350639879711</v>
      </c>
    </row>
    <row r="68" spans="1:19" x14ac:dyDescent="0.35">
      <c r="A68" s="8">
        <v>44141</v>
      </c>
      <c r="B68" s="10">
        <v>3.99</v>
      </c>
      <c r="C68" s="10">
        <v>4</v>
      </c>
      <c r="D68" s="10">
        <v>3.82</v>
      </c>
      <c r="E68" s="10">
        <v>3.99</v>
      </c>
      <c r="F68" s="10">
        <v>3.99</v>
      </c>
      <c r="G68">
        <v>4556000</v>
      </c>
      <c r="H68" s="10">
        <f>IF(tbl_LLNW[[#This Row],[Date]]=$A$5, $F68, EMA_Beta*$H67 + (1-EMA_Beta)*$F68)</f>
        <v>4.513790391618028</v>
      </c>
      <c r="I68" s="46">
        <f ca="1">IF(tbl_LLNW[[#This Row],[RS]]= "", "", 100-(100/(1+tbl_LLNW[[#This Row],[RS]])))</f>
        <v>18.95043731778425</v>
      </c>
      <c r="J68" s="10">
        <f ca="1">IF(ROW($N68)-4&lt;BB_Periods, "", AVERAGE(INDIRECT(ADDRESS(ROW($F68)-RSI_Periods +1, MATCH("Adj Close", Price_Header,0))): INDIRECT(ADDRESS(ROW($F68),MATCH("Adj Close", Price_Header,0)))))</f>
        <v>4.3178571428571431</v>
      </c>
      <c r="K68" s="10">
        <f ca="1">IF(tbl_LLNW[[#This Row],[BB_Mean]]="", "", tbl_LLNW[[#This Row],[BB_Mean]]+(BB_Width*tbl_LLNW[[#This Row],[BB_Stdev]]))</f>
        <v>6.3403944460624828</v>
      </c>
      <c r="L68" s="10">
        <f ca="1">IF(tbl_LLNW[[#This Row],[BB_Mean]]="", "", tbl_LLNW[[#This Row],[BB_Mean]]-(BB_Width*tbl_LLNW[[#This Row],[BB_Stdev]]))</f>
        <v>2.2953198396518029</v>
      </c>
      <c r="M68" s="46">
        <f>IF(ROW(tbl_LLNW[[#This Row],[Adj Close]])=5, 0, $F68-$F67)</f>
        <v>2.0000000000000018E-2</v>
      </c>
      <c r="N68" s="46">
        <f>MAX(tbl_LLNW[[#This Row],[Move]],0)</f>
        <v>2.0000000000000018E-2</v>
      </c>
      <c r="O68" s="46">
        <f>MAX(-tbl_LLNW[[#This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4.6428571428571423E-2</v>
      </c>
      <c r="Q68" s="46">
        <f ca="1">IF(ROW($O68)-5&lt;RSI_Periods, "", AVERAGE(INDIRECT(ADDRESS(ROW($O68)-RSI_Periods +1, MATCH("Downmove", Price_Header,0))): INDIRECT(ADDRESS(ROW($O68),MATCH("Downmove", Price_Header,0)))))</f>
        <v>0.19857142857142857</v>
      </c>
      <c r="R68" s="46">
        <f ca="1">IF(tbl_LLNW[[#This Row],[Avg_Upmove]]="", "", tbl_LLNW[[#This Row],[Avg_Upmove]]/tbl_LLNW[[#This Row],[Avg_Downmove]])</f>
        <v>0.23381294964028776</v>
      </c>
      <c r="S68" s="10">
        <f ca="1">IF(ROW($N68)-4&lt;BB_Periods, "", _xlfn.STDEV.S(INDIRECT(ADDRESS(ROW($F68)-RSI_Periods +1, MATCH("Adj Close", Price_Header,0))): INDIRECT(ADDRESS(ROW($F68),MATCH("Adj Close", Price_Header,0)))))</f>
        <v>1.0112686516026701</v>
      </c>
    </row>
    <row r="69" spans="1:19" x14ac:dyDescent="0.35">
      <c r="A69" s="8">
        <v>44144</v>
      </c>
      <c r="B69" s="10">
        <v>4.0999999999999996</v>
      </c>
      <c r="C69" s="10">
        <v>4.2</v>
      </c>
      <c r="D69" s="10">
        <v>3.92</v>
      </c>
      <c r="E69" s="10">
        <v>3.93</v>
      </c>
      <c r="F69" s="10">
        <v>3.93</v>
      </c>
      <c r="G69">
        <v>5607200</v>
      </c>
      <c r="H69" s="10">
        <f>IF(tbl_LLNW[[#This Row],[Date]]=$A$5, $F69, EMA_Beta*$H68 + (1-EMA_Beta)*$F69)</f>
        <v>4.4554113524562249</v>
      </c>
      <c r="I69" s="46">
        <f ca="1">IF(tbl_LLNW[[#This Row],[RS]]= "", "", 100-(100/(1+tbl_LLNW[[#This Row],[RS]])))</f>
        <v>17.441860465116292</v>
      </c>
      <c r="J69" s="10">
        <f ca="1">IF(ROW($N69)-4&lt;BB_Periods, "", AVERAGE(INDIRECT(ADDRESS(ROW($F69)-RSI_Periods +1, MATCH("Adj Close", Price_Header,0))): INDIRECT(ADDRESS(ROW($F69),MATCH("Adj Close", Price_Header,0)))))</f>
        <v>4.1578571428571429</v>
      </c>
      <c r="K69" s="10">
        <f ca="1">IF(tbl_LLNW[[#This Row],[BB_Mean]]="", "", tbl_LLNW[[#This Row],[BB_Mean]]+(BB_Width*tbl_LLNW[[#This Row],[BB_Stdev]]))</f>
        <v>5.8815593939868007</v>
      </c>
      <c r="L69" s="10">
        <f ca="1">IF(tbl_LLNW[[#This Row],[BB_Mean]]="", "", tbl_LLNW[[#This Row],[BB_Mean]]-(BB_Width*tbl_LLNW[[#This Row],[BB_Stdev]]))</f>
        <v>2.4341548917274851</v>
      </c>
      <c r="M69" s="46">
        <f>IF(ROW(tbl_LLNW[[#This Row],[Adj Close]])=5, 0, $F69-$F68)</f>
        <v>-6.0000000000000053E-2</v>
      </c>
      <c r="N69" s="46">
        <f>MAX(tbl_LLNW[[#This Row],[Move]],0)</f>
        <v>0</v>
      </c>
      <c r="O69" s="46">
        <f>MAX(-tbl_LLNW[[#This Row],[Move]],0)</f>
        <v>6.0000000000000053E-2</v>
      </c>
      <c r="P69" s="46">
        <f ca="1">IF(ROW($N69)-5&lt;RSI_Periods, "", AVERAGE(INDIRECT(ADDRESS(ROW($N69)-RSI_Periods +1, MATCH("Upmove", Price_Header,0))): INDIRECT(ADDRESS(ROW($N69),MATCH("Upmove", Price_Header,0)))))</f>
        <v>4.2857142857142864E-2</v>
      </c>
      <c r="Q69" s="46">
        <f ca="1">IF(ROW($O69)-5&lt;RSI_Periods, "", AVERAGE(INDIRECT(ADDRESS(ROW($O69)-RSI_Periods +1, MATCH("Downmove", Price_Header,0))): INDIRECT(ADDRESS(ROW($O69),MATCH("Downmove", Price_Header,0)))))</f>
        <v>0.20285714285714285</v>
      </c>
      <c r="R69" s="46">
        <f ca="1">IF(tbl_LLNW[[#This Row],[Avg_Upmove]]="", "", tbl_LLNW[[#This Row],[Avg_Upmove]]/tbl_LLNW[[#This Row],[Avg_Downmove]])</f>
        <v>0.21126760563380287</v>
      </c>
      <c r="S69" s="10">
        <f ca="1">IF(ROW($N69)-4&lt;BB_Periods, "", _xlfn.STDEV.S(INDIRECT(ADDRESS(ROW($F69)-RSI_Periods +1, MATCH("Adj Close", Price_Header,0))): INDIRECT(ADDRESS(ROW($F69),MATCH("Adj Close", Price_Header,0)))))</f>
        <v>0.8618511255648289</v>
      </c>
    </row>
    <row r="70" spans="1:19" x14ac:dyDescent="0.35">
      <c r="A70" s="8">
        <v>44145</v>
      </c>
      <c r="B70" s="10">
        <v>3.99</v>
      </c>
      <c r="C70" s="10">
        <v>4.01</v>
      </c>
      <c r="D70" s="10">
        <v>3.68</v>
      </c>
      <c r="E70" s="10">
        <v>3.82</v>
      </c>
      <c r="F70" s="10">
        <v>3.82</v>
      </c>
      <c r="G70">
        <v>6120400</v>
      </c>
      <c r="H70" s="10">
        <f>IF(tbl_LLNW[[#This Row],[Date]]=$A$5, $F70, EMA_Beta*$H69 + (1-EMA_Beta)*$F70)</f>
        <v>4.3918702172106023</v>
      </c>
      <c r="I70" s="46">
        <f ca="1">IF(tbl_LLNW[[#This Row],[RS]]= "", "", 100-(100/(1+tbl_LLNW[[#This Row],[RS]])))</f>
        <v>17.142857142857139</v>
      </c>
      <c r="J70" s="10">
        <f ca="1">IF(ROW($N70)-4&lt;BB_Periods, "", AVERAGE(INDIRECT(ADDRESS(ROW($F70)-RSI_Periods +1, MATCH("Adj Close", Price_Header,0))): INDIRECT(ADDRESS(ROW($F70),MATCH("Adj Close", Price_Header,0)))))</f>
        <v>3.9935714285714283</v>
      </c>
      <c r="K70" s="10">
        <f ca="1">IF(tbl_LLNW[[#This Row],[BB_Mean]]="", "", tbl_LLNW[[#This Row],[BB_Mean]]+(BB_Width*tbl_LLNW[[#This Row],[BB_Stdev]]))</f>
        <v>5.2994777072879415</v>
      </c>
      <c r="L70" s="10">
        <f ca="1">IF(tbl_LLNW[[#This Row],[BB_Mean]]="", "", tbl_LLNW[[#This Row],[BB_Mean]]-(BB_Width*tbl_LLNW[[#This Row],[BB_Stdev]]))</f>
        <v>2.6876651498549156</v>
      </c>
      <c r="M70" s="46">
        <f>IF(ROW(tbl_LLNW[[#This Row],[Adj Close]])=5, 0, $F70-$F69)</f>
        <v>-0.11000000000000032</v>
      </c>
      <c r="N70" s="46">
        <f>MAX(tbl_LLNW[[#This Row],[Move]],0)</f>
        <v>0</v>
      </c>
      <c r="O70" s="46">
        <f>MAX(-tbl_LLNW[[#This Row],[Move]],0)</f>
        <v>0.11000000000000032</v>
      </c>
      <c r="P70" s="46">
        <f ca="1">IF(ROW($N70)-5&lt;RSI_Periods, "", AVERAGE(INDIRECT(ADDRESS(ROW($N70)-RSI_Periods +1, MATCH("Upmove", Price_Header,0))): INDIRECT(ADDRESS(ROW($N70),MATCH("Upmove", Price_Header,0)))))</f>
        <v>4.2857142857142864E-2</v>
      </c>
      <c r="Q70" s="46">
        <f ca="1">IF(ROW($O70)-5&lt;RSI_Periods, "", AVERAGE(INDIRECT(ADDRESS(ROW($O70)-RSI_Periods +1, MATCH("Downmove", Price_Header,0))): INDIRECT(ADDRESS(ROW($O70),MATCH("Downmove", Price_Header,0)))))</f>
        <v>0.20714285714285716</v>
      </c>
      <c r="R70" s="46">
        <f ca="1">IF(tbl_LLNW[[#This Row],[Avg_Upmove]]="", "", tbl_LLNW[[#This Row],[Avg_Upmove]]/tbl_LLNW[[#This Row],[Avg_Downmove]])</f>
        <v>0.20689655172413796</v>
      </c>
      <c r="S70" s="10">
        <f ca="1">IF(ROW($N70)-4&lt;BB_Periods, "", _xlfn.STDEV.S(INDIRECT(ADDRESS(ROW($F70)-RSI_Periods +1, MATCH("Adj Close", Price_Header,0))): INDIRECT(ADDRESS(ROW($F70),MATCH("Adj Close", Price_Header,0)))))</f>
        <v>0.65295313935825638</v>
      </c>
    </row>
    <row r="71" spans="1:19" x14ac:dyDescent="0.35">
      <c r="A71" s="8">
        <v>44146</v>
      </c>
      <c r="B71" s="10">
        <v>3.85</v>
      </c>
      <c r="C71" s="10">
        <v>4.01</v>
      </c>
      <c r="D71" s="10">
        <v>3.79</v>
      </c>
      <c r="E71" s="10">
        <v>4</v>
      </c>
      <c r="F71" s="10">
        <v>4</v>
      </c>
      <c r="G71">
        <v>4640400</v>
      </c>
      <c r="H71" s="10">
        <f>IF(tbl_LLNW[[#This Row],[Date]]=$A$5, $F71, EMA_Beta*$H70 + (1-EMA_Beta)*$F71)</f>
        <v>4.3526831954895417</v>
      </c>
      <c r="I71" s="46">
        <f ca="1">IF(tbl_LLNW[[#This Row],[RS]]= "", "", 100-(100/(1+tbl_LLNW[[#This Row],[RS]])))</f>
        <v>19.889502762430951</v>
      </c>
      <c r="J71" s="10">
        <f ca="1">IF(ROW($N71)-4&lt;BB_Periods, "", AVERAGE(INDIRECT(ADDRESS(ROW($F71)-RSI_Periods +1, MATCH("Adj Close", Price_Header,0))): INDIRECT(ADDRESS(ROW($F71),MATCH("Adj Close", Price_Header,0)))))</f>
        <v>3.8378571428571426</v>
      </c>
      <c r="K71" s="10">
        <f ca="1">IF(tbl_LLNW[[#This Row],[BB_Mean]]="", "", tbl_LLNW[[#This Row],[BB_Mean]]+(BB_Width*tbl_LLNW[[#This Row],[BB_Stdev]]))</f>
        <v>4.1984701740162489</v>
      </c>
      <c r="L71" s="10">
        <f ca="1">IF(tbl_LLNW[[#This Row],[BB_Mean]]="", "", tbl_LLNW[[#This Row],[BB_Mean]]-(BB_Width*tbl_LLNW[[#This Row],[BB_Stdev]]))</f>
        <v>3.4772441116980368</v>
      </c>
      <c r="M71" s="46">
        <f>IF(ROW(tbl_LLNW[[#This Row],[Adj Close]])=5, 0, $F71-$F70)</f>
        <v>0.18000000000000016</v>
      </c>
      <c r="N71" s="46">
        <f>MAX(tbl_LLNW[[#This Row],[Move]],0)</f>
        <v>0.18000000000000016</v>
      </c>
      <c r="O71" s="46">
        <f>MAX(-tbl_LLNW[[#This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5.1428571428571476E-2</v>
      </c>
      <c r="Q71" s="46">
        <f ca="1">IF(ROW($O71)-5&lt;RSI_Periods, "", AVERAGE(INDIRECT(ADDRESS(ROW($O71)-RSI_Periods +1, MATCH("Downmove", Price_Header,0))): INDIRECT(ADDRESS(ROW($O71),MATCH("Downmove", Price_Header,0)))))</f>
        <v>0.20714285714285716</v>
      </c>
      <c r="R71" s="46">
        <f ca="1">IF(tbl_LLNW[[#This Row],[Avg_Upmove]]="", "", tbl_LLNW[[#This Row],[Avg_Upmove]]/tbl_LLNW[[#This Row],[Avg_Downmove]])</f>
        <v>0.24827586206896574</v>
      </c>
      <c r="S71" s="10">
        <f ca="1">IF(ROW($N71)-4&lt;BB_Periods, "", _xlfn.STDEV.S(INDIRECT(ADDRESS(ROW($F71)-RSI_Periods +1, MATCH("Adj Close", Price_Header,0))): INDIRECT(ADDRESS(ROW($F71),MATCH("Adj Close", Price_Header,0)))))</f>
        <v>0.18030651557955299</v>
      </c>
    </row>
    <row r="72" spans="1:19" x14ac:dyDescent="0.35">
      <c r="A72" s="8">
        <v>44147</v>
      </c>
      <c r="B72" s="10">
        <v>4</v>
      </c>
      <c r="C72" s="10">
        <v>4.0599999999999996</v>
      </c>
      <c r="D72" s="10">
        <v>3.93</v>
      </c>
      <c r="E72" s="10">
        <v>3.94</v>
      </c>
      <c r="F72" s="10">
        <v>3.94</v>
      </c>
      <c r="G72">
        <v>3142700</v>
      </c>
      <c r="H72" s="10">
        <f>IF(tbl_LLNW[[#This Row],[Date]]=$A$5, $F72, EMA_Beta*$H71 + (1-EMA_Beta)*$F72)</f>
        <v>4.3114148759405877</v>
      </c>
      <c r="I72" s="46">
        <f ca="1">IF(tbl_LLNW[[#This Row],[RS]]= "", "", 100-(100/(1+tbl_LLNW[[#This Row],[RS]])))</f>
        <v>42.352941176470587</v>
      </c>
      <c r="J72" s="10">
        <f ca="1">IF(ROW($N72)-4&lt;BB_Periods, "", AVERAGE(INDIRECT(ADDRESS(ROW($F72)-RSI_Periods +1, MATCH("Adj Close", Price_Header,0))): INDIRECT(ADDRESS(ROW($F72),MATCH("Adj Close", Price_Header,0)))))</f>
        <v>3.8192857142857144</v>
      </c>
      <c r="K72" s="10">
        <f ca="1">IF(tbl_LLNW[[#This Row],[BB_Mean]]="", "", tbl_LLNW[[#This Row],[BB_Mean]]+(BB_Width*tbl_LLNW[[#This Row],[BB_Stdev]]))</f>
        <v>4.1216318517063648</v>
      </c>
      <c r="L72" s="10">
        <f ca="1">IF(tbl_LLNW[[#This Row],[BB_Mean]]="", "", tbl_LLNW[[#This Row],[BB_Mean]]-(BB_Width*tbl_LLNW[[#This Row],[BB_Stdev]]))</f>
        <v>3.516939576865064</v>
      </c>
      <c r="M72" s="46">
        <f>IF(ROW(tbl_LLNW[[#This Row],[Adj Close]])=5, 0, $F72-$F71)</f>
        <v>-6.0000000000000053E-2</v>
      </c>
      <c r="N72" s="46">
        <f>MAX(tbl_LLNW[[#This Row],[Move]],0)</f>
        <v>0</v>
      </c>
      <c r="O72" s="46">
        <f>MAX(-tbl_LLNW[[#This Row],[Move]],0)</f>
        <v>6.0000000000000053E-2</v>
      </c>
      <c r="P72" s="46">
        <f ca="1">IF(ROW($N72)-5&lt;RSI_Periods, "", AVERAGE(INDIRECT(ADDRESS(ROW($N72)-RSI_Periods +1, MATCH("Upmove", Price_Header,0))): INDIRECT(ADDRESS(ROW($N72),MATCH("Upmove", Price_Header,0)))))</f>
        <v>5.1428571428571476E-2</v>
      </c>
      <c r="Q72" s="46">
        <f ca="1">IF(ROW($O72)-5&lt;RSI_Periods, "", AVERAGE(INDIRECT(ADDRESS(ROW($O72)-RSI_Periods +1, MATCH("Downmove", Price_Header,0))): INDIRECT(ADDRESS(ROW($O72),MATCH("Downmove", Price_Header,0)))))</f>
        <v>7.0000000000000062E-2</v>
      </c>
      <c r="R72" s="46">
        <f ca="1">IF(tbl_LLNW[[#This Row],[Avg_Upmove]]="", "", tbl_LLNW[[#This Row],[Avg_Upmove]]/tbl_LLNW[[#This Row],[Avg_Downmove]])</f>
        <v>0.73469387755102045</v>
      </c>
      <c r="S72" s="10">
        <f ca="1">IF(ROW($N72)-4&lt;BB_Periods, "", _xlfn.STDEV.S(INDIRECT(ADDRESS(ROW($F72)-RSI_Periods +1, MATCH("Adj Close", Price_Header,0))): INDIRECT(ADDRESS(ROW($F72),MATCH("Adj Close", Price_Header,0)))))</f>
        <v>0.15117306871032524</v>
      </c>
    </row>
    <row r="73" spans="1:19" x14ac:dyDescent="0.35">
      <c r="A73" s="8">
        <v>44148</v>
      </c>
      <c r="B73" s="10">
        <v>3.95</v>
      </c>
      <c r="C73" s="10">
        <v>4.0199999999999996</v>
      </c>
      <c r="D73" s="10">
        <v>3.89</v>
      </c>
      <c r="E73" s="10">
        <v>3.98</v>
      </c>
      <c r="F73" s="10">
        <v>3.98</v>
      </c>
      <c r="G73">
        <v>2861200</v>
      </c>
      <c r="H73" s="10">
        <f>IF(tbl_LLNW[[#This Row],[Date]]=$A$5, $F73, EMA_Beta*$H72 + (1-EMA_Beta)*$F73)</f>
        <v>4.2782733883465287</v>
      </c>
      <c r="I73" s="46">
        <f ca="1">IF(tbl_LLNW[[#This Row],[RS]]= "", "", 100-(100/(1+tbl_LLNW[[#This Row],[RS]])))</f>
        <v>53.14685314685314</v>
      </c>
      <c r="J73" s="10">
        <f ca="1">IF(ROW($N73)-4&lt;BB_Periods, "", AVERAGE(INDIRECT(ADDRESS(ROW($F73)-RSI_Periods +1, MATCH("Adj Close", Price_Header,0))): INDIRECT(ADDRESS(ROW($F73),MATCH("Adj Close", Price_Header,0)))))</f>
        <v>3.8257142857142847</v>
      </c>
      <c r="K73" s="10">
        <f ca="1">IF(tbl_LLNW[[#This Row],[BB_Mean]]="", "", tbl_LLNW[[#This Row],[BB_Mean]]+(BB_Width*tbl_LLNW[[#This Row],[BB_Stdev]]))</f>
        <v>4.1381946147655002</v>
      </c>
      <c r="L73" s="10">
        <f ca="1">IF(tbl_LLNW[[#This Row],[BB_Mean]]="", "", tbl_LLNW[[#This Row],[BB_Mean]]-(BB_Width*tbl_LLNW[[#This Row],[BB_Stdev]]))</f>
        <v>3.5132339566630688</v>
      </c>
      <c r="M73" s="46">
        <f>IF(ROW(tbl_LLNW[[#This Row],[Adj Close]])=5, 0, $F73-$F72)</f>
        <v>4.0000000000000036E-2</v>
      </c>
      <c r="N73" s="46">
        <f>MAX(tbl_LLNW[[#This Row],[Move]],0)</f>
        <v>4.0000000000000036E-2</v>
      </c>
      <c r="O73" s="46">
        <f>MAX(-tbl_LLNW[[#This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5.4285714285714333E-2</v>
      </c>
      <c r="Q73" s="46">
        <f ca="1">IF(ROW($O73)-5&lt;RSI_Periods, "", AVERAGE(INDIRECT(ADDRESS(ROW($O73)-RSI_Periods +1, MATCH("Downmove", Price_Header,0))): INDIRECT(ADDRESS(ROW($O73),MATCH("Downmove", Price_Header,0)))))</f>
        <v>4.7857142857142917E-2</v>
      </c>
      <c r="R73" s="46">
        <f ca="1">IF(tbl_LLNW[[#This Row],[Avg_Upmove]]="", "", tbl_LLNW[[#This Row],[Avg_Upmove]]/tbl_LLNW[[#This Row],[Avg_Downmove]])</f>
        <v>1.1343283582089547</v>
      </c>
      <c r="S73" s="10">
        <f ca="1">IF(ROW($N73)-4&lt;BB_Periods, "", _xlfn.STDEV.S(INDIRECT(ADDRESS(ROW($F73)-RSI_Periods +1, MATCH("Adj Close", Price_Header,0))): INDIRECT(ADDRESS(ROW($F73),MATCH("Adj Close", Price_Header,0)))))</f>
        <v>0.15624016452560791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SUBTOTAL(103,tbl_LLNW[BB_Stdev])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CD81-54F3-406A-912E-A7F421BDB4F2}">
  <dimension ref="A1:S74"/>
  <sheetViews>
    <sheetView workbookViewId="0">
      <selection activeCell="A4" sqref="A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386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6.56</v>
      </c>
      <c r="C5" s="10">
        <v>6.63</v>
      </c>
      <c r="D5" s="10">
        <v>6.45</v>
      </c>
      <c r="E5" s="10">
        <v>6.57</v>
      </c>
      <c r="F5" s="10">
        <v>6.57</v>
      </c>
      <c r="G5">
        <v>49900</v>
      </c>
      <c r="H5" s="10">
        <f>IF(tbl_PLL[[#This Row],[Date]]=$A$5, $F5, EMA_Beta*$H4 + (1-EMA_Beta)*$F5)</f>
        <v>6.57</v>
      </c>
      <c r="I5" s="46" t="str">
        <f ca="1">IF(tbl_PLL[[#This Row],[RS]]= "", "", 100-(100/(1+tbl_PLL[[#This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IF(tbl_PLL[[#This Row],[BB_Mean]]="", "", tbl_PLL[[#This Row],[BB_Mean]]+(BB_Width*tbl_PLL[[#This Row],[BB_Stdev]]))</f>
        <v/>
      </c>
      <c r="L5" s="10" t="str">
        <f ca="1">IF(tbl_PLL[[#This Row],[BB_Mean]]="", "", tbl_PLL[[#This Row],[BB_Mean]]-(BB_Width*tbl_PLL[[#This Row],[BB_Stdev]]))</f>
        <v/>
      </c>
      <c r="M5" s="46">
        <f>IF(ROW(tbl_PLL[[#This Row],[Adj Close]])=5, 0, $F5-$F4)</f>
        <v>0</v>
      </c>
      <c r="N5" s="46">
        <f>MAX(tbl_PLL[[#This Row],[Move]],0)</f>
        <v>0</v>
      </c>
      <c r="O5" s="46">
        <f>MAX(-tbl_PLL[[#This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IF(tbl_PLL[[#This Row],[Avg_Upmove]]="", "", tbl_PLL[[#This Row],[Avg_Upmove]]/tbl_PLL[[#This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6.54</v>
      </c>
      <c r="C6" s="10">
        <v>6.7</v>
      </c>
      <c r="D6" s="10">
        <v>6.5</v>
      </c>
      <c r="E6" s="10">
        <v>6.51</v>
      </c>
      <c r="F6" s="10">
        <v>6.51</v>
      </c>
      <c r="G6">
        <v>65100</v>
      </c>
      <c r="H6" s="10">
        <f>IF(tbl_PLL[[#This Row],[Date]]=$A$5, $F6, EMA_Beta*$H5 + (1-EMA_Beta)*$F6)</f>
        <v>6.5640000000000001</v>
      </c>
      <c r="I6" s="46" t="str">
        <f ca="1">IF(tbl_PLL[[#This Row],[RS]]= "", "", 100-(100/(1+tbl_PLL[[#This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IF(tbl_PLL[[#This Row],[BB_Mean]]="", "", tbl_PLL[[#This Row],[BB_Mean]]+(BB_Width*tbl_PLL[[#This Row],[BB_Stdev]]))</f>
        <v/>
      </c>
      <c r="L6" s="10" t="str">
        <f ca="1">IF(tbl_PLL[[#This Row],[BB_Mean]]="", "", tbl_PLL[[#This Row],[BB_Mean]]-(BB_Width*tbl_PLL[[#This Row],[BB_Stdev]]))</f>
        <v/>
      </c>
      <c r="M6" s="46">
        <f>IF(ROW(tbl_PLL[[#This Row],[Adj Close]])=5, 0, $F6-$F5)</f>
        <v>-6.0000000000000497E-2</v>
      </c>
      <c r="N6" s="46">
        <f>MAX(tbl_PLL[[#This Row],[Move]],0)</f>
        <v>0</v>
      </c>
      <c r="O6" s="46">
        <f>MAX(-tbl_PLL[[#This Row],[Move]],0)</f>
        <v>6.0000000000000497E-2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IF(tbl_PLL[[#This Row],[Avg_Upmove]]="", "", tbl_PLL[[#This Row],[Avg_Upmove]]/tbl_PLL[[#This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6.51</v>
      </c>
      <c r="C7" s="10">
        <v>6.57</v>
      </c>
      <c r="D7" s="10">
        <v>6.15</v>
      </c>
      <c r="E7" s="10">
        <v>6.34</v>
      </c>
      <c r="F7" s="10">
        <v>6.34</v>
      </c>
      <c r="G7">
        <v>93400</v>
      </c>
      <c r="H7" s="10">
        <f>IF(tbl_PLL[[#This Row],[Date]]=$A$5, $F7, EMA_Beta*$H6 + (1-EMA_Beta)*$F7)</f>
        <v>6.5416000000000007</v>
      </c>
      <c r="I7" s="46" t="str">
        <f ca="1">IF(tbl_PLL[[#This Row],[RS]]= "", "", 100-(100/(1+tbl_PLL[[#This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IF(tbl_PLL[[#This Row],[BB_Mean]]="", "", tbl_PLL[[#This Row],[BB_Mean]]+(BB_Width*tbl_PLL[[#This Row],[BB_Stdev]]))</f>
        <v/>
      </c>
      <c r="L7" s="10" t="str">
        <f ca="1">IF(tbl_PLL[[#This Row],[BB_Mean]]="", "", tbl_PLL[[#This Row],[BB_Mean]]-(BB_Width*tbl_PLL[[#This Row],[BB_Stdev]]))</f>
        <v/>
      </c>
      <c r="M7" s="46">
        <f>IF(ROW(tbl_PLL[[#This Row],[Adj Close]])=5, 0, $F7-$F6)</f>
        <v>-0.16999999999999993</v>
      </c>
      <c r="N7" s="46">
        <f>MAX(tbl_PLL[[#This Row],[Move]],0)</f>
        <v>0</v>
      </c>
      <c r="O7" s="46">
        <f>MAX(-tbl_PLL[[#This Row],[Move]],0)</f>
        <v>0.16999999999999993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IF(tbl_PLL[[#This Row],[Avg_Upmove]]="", "", tbl_PLL[[#This Row],[Avg_Upmove]]/tbl_PLL[[#This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6.31</v>
      </c>
      <c r="C8" s="10">
        <v>6.56</v>
      </c>
      <c r="D8" s="10">
        <v>6.21</v>
      </c>
      <c r="E8" s="10">
        <v>6.39</v>
      </c>
      <c r="F8" s="10">
        <v>6.39</v>
      </c>
      <c r="G8">
        <v>43300</v>
      </c>
      <c r="H8" s="10">
        <f>IF(tbl_PLL[[#This Row],[Date]]=$A$5, $F8, EMA_Beta*$H7 + (1-EMA_Beta)*$F8)</f>
        <v>6.5264400000000009</v>
      </c>
      <c r="I8" s="46" t="str">
        <f ca="1">IF(tbl_PLL[[#This Row],[RS]]= "", "", 100-(100/(1+tbl_PLL[[#This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IF(tbl_PLL[[#This Row],[BB_Mean]]="", "", tbl_PLL[[#This Row],[BB_Mean]]+(BB_Width*tbl_PLL[[#This Row],[BB_Stdev]]))</f>
        <v/>
      </c>
      <c r="L8" s="10" t="str">
        <f ca="1">IF(tbl_PLL[[#This Row],[BB_Mean]]="", "", tbl_PLL[[#This Row],[BB_Mean]]-(BB_Width*tbl_PLL[[#This Row],[BB_Stdev]]))</f>
        <v/>
      </c>
      <c r="M8" s="46">
        <f>IF(ROW(tbl_PLL[[#This Row],[Adj Close]])=5, 0, $F8-$F7)</f>
        <v>4.9999999999999822E-2</v>
      </c>
      <c r="N8" s="46">
        <f>MAX(tbl_PLL[[#This Row],[Move]],0)</f>
        <v>4.9999999999999822E-2</v>
      </c>
      <c r="O8" s="46">
        <f>MAX(-tbl_PLL[[#This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IF(tbl_PLL[[#This Row],[Avg_Upmove]]="", "", tbl_PLL[[#This Row],[Avg_Upmove]]/tbl_PLL[[#This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6.39</v>
      </c>
      <c r="C9" s="10">
        <v>6.57</v>
      </c>
      <c r="D9" s="10">
        <v>6.33</v>
      </c>
      <c r="E9" s="10">
        <v>6.44</v>
      </c>
      <c r="F9" s="10">
        <v>6.44</v>
      </c>
      <c r="G9">
        <v>40000</v>
      </c>
      <c r="H9" s="10">
        <f>IF(tbl_PLL[[#This Row],[Date]]=$A$5, $F9, EMA_Beta*$H8 + (1-EMA_Beta)*$F9)</f>
        <v>6.5177960000000015</v>
      </c>
      <c r="I9" s="46" t="str">
        <f ca="1">IF(tbl_PLL[[#This Row],[RS]]= "", "", 100-(100/(1+tbl_PLL[[#This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IF(tbl_PLL[[#This Row],[BB_Mean]]="", "", tbl_PLL[[#This Row],[BB_Mean]]+(BB_Width*tbl_PLL[[#This Row],[BB_Stdev]]))</f>
        <v/>
      </c>
      <c r="L9" s="10" t="str">
        <f ca="1">IF(tbl_PLL[[#This Row],[BB_Mean]]="", "", tbl_PLL[[#This Row],[BB_Mean]]-(BB_Width*tbl_PLL[[#This Row],[BB_Stdev]]))</f>
        <v/>
      </c>
      <c r="M9" s="46">
        <f>IF(ROW(tbl_PLL[[#This Row],[Adj Close]])=5, 0, $F9-$F8)</f>
        <v>5.0000000000000711E-2</v>
      </c>
      <c r="N9" s="46">
        <f>MAX(tbl_PLL[[#This Row],[Move]],0)</f>
        <v>5.0000000000000711E-2</v>
      </c>
      <c r="O9" s="46">
        <f>MAX(-tbl_PLL[[#This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IF(tbl_PLL[[#This Row],[Avg_Upmove]]="", "", tbl_PLL[[#This Row],[Avg_Upmove]]/tbl_PLL[[#This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6.54</v>
      </c>
      <c r="C10" s="10">
        <v>6.66</v>
      </c>
      <c r="D10" s="10">
        <v>6.37</v>
      </c>
      <c r="E10" s="10">
        <v>6.6</v>
      </c>
      <c r="F10" s="10">
        <v>6.6</v>
      </c>
      <c r="G10">
        <v>83000</v>
      </c>
      <c r="H10" s="10">
        <f>IF(tbl_PLL[[#This Row],[Date]]=$A$5, $F10, EMA_Beta*$H9 + (1-EMA_Beta)*$F10)</f>
        <v>6.5260164000000014</v>
      </c>
      <c r="I10" s="46" t="str">
        <f ca="1">IF(tbl_PLL[[#This Row],[RS]]= "", "", 100-(100/(1+tbl_PLL[[#This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IF(tbl_PLL[[#This Row],[BB_Mean]]="", "", tbl_PLL[[#This Row],[BB_Mean]]+(BB_Width*tbl_PLL[[#This Row],[BB_Stdev]]))</f>
        <v/>
      </c>
      <c r="L10" s="10" t="str">
        <f ca="1">IF(tbl_PLL[[#This Row],[BB_Mean]]="", "", tbl_PLL[[#This Row],[BB_Mean]]-(BB_Width*tbl_PLL[[#This Row],[BB_Stdev]]))</f>
        <v/>
      </c>
      <c r="M10" s="46">
        <f>IF(ROW(tbl_PLL[[#This Row],[Adj Close]])=5, 0, $F10-$F9)</f>
        <v>0.15999999999999925</v>
      </c>
      <c r="N10" s="46">
        <f>MAX(tbl_PLL[[#This Row],[Move]],0)</f>
        <v>0.15999999999999925</v>
      </c>
      <c r="O10" s="46">
        <f>MAX(-tbl_PLL[[#This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IF(tbl_PLL[[#This Row],[Avg_Upmove]]="", "", tbl_PLL[[#This Row],[Avg_Upmove]]/tbl_PLL[[#This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6.64</v>
      </c>
      <c r="C11" s="10">
        <v>6.7</v>
      </c>
      <c r="D11" s="10">
        <v>6.49</v>
      </c>
      <c r="E11" s="10">
        <v>6.54</v>
      </c>
      <c r="F11" s="10">
        <v>6.54</v>
      </c>
      <c r="G11">
        <v>38200</v>
      </c>
      <c r="H11" s="10">
        <f>IF(tbl_PLL[[#This Row],[Date]]=$A$5, $F11, EMA_Beta*$H10 + (1-EMA_Beta)*$F11)</f>
        <v>6.527414760000001</v>
      </c>
      <c r="I11" s="46" t="str">
        <f ca="1">IF(tbl_PLL[[#This Row],[RS]]= "", "", 100-(100/(1+tbl_PLL[[#This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IF(tbl_PLL[[#This Row],[BB_Mean]]="", "", tbl_PLL[[#This Row],[BB_Mean]]+(BB_Width*tbl_PLL[[#This Row],[BB_Stdev]]))</f>
        <v/>
      </c>
      <c r="L11" s="10" t="str">
        <f ca="1">IF(tbl_PLL[[#This Row],[BB_Mean]]="", "", tbl_PLL[[#This Row],[BB_Mean]]-(BB_Width*tbl_PLL[[#This Row],[BB_Stdev]]))</f>
        <v/>
      </c>
      <c r="M11" s="46">
        <f>IF(ROW(tbl_PLL[[#This Row],[Adj Close]])=5, 0, $F11-$F10)</f>
        <v>-5.9999999999999609E-2</v>
      </c>
      <c r="N11" s="46">
        <f>MAX(tbl_PLL[[#This Row],[Move]],0)</f>
        <v>0</v>
      </c>
      <c r="O11" s="46">
        <f>MAX(-tbl_PLL[[#This Row],[Move]],0)</f>
        <v>5.9999999999999609E-2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IF(tbl_PLL[[#This Row],[Avg_Upmove]]="", "", tbl_PLL[[#This Row],[Avg_Upmove]]/tbl_PLL[[#This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6.62</v>
      </c>
      <c r="C12" s="10">
        <v>6.62</v>
      </c>
      <c r="D12" s="10">
        <v>6.25</v>
      </c>
      <c r="E12" s="10">
        <v>6.4</v>
      </c>
      <c r="F12" s="10">
        <v>6.4</v>
      </c>
      <c r="G12">
        <v>48800</v>
      </c>
      <c r="H12" s="10">
        <f>IF(tbl_PLL[[#This Row],[Date]]=$A$5, $F12, EMA_Beta*$H11 + (1-EMA_Beta)*$F12)</f>
        <v>6.5146732840000006</v>
      </c>
      <c r="I12" s="46" t="str">
        <f ca="1">IF(tbl_PLL[[#This Row],[RS]]= "", "", 100-(100/(1+tbl_PLL[[#This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IF(tbl_PLL[[#This Row],[BB_Mean]]="", "", tbl_PLL[[#This Row],[BB_Mean]]+(BB_Width*tbl_PLL[[#This Row],[BB_Stdev]]))</f>
        <v/>
      </c>
      <c r="L12" s="10" t="str">
        <f ca="1">IF(tbl_PLL[[#This Row],[BB_Mean]]="", "", tbl_PLL[[#This Row],[BB_Mean]]-(BB_Width*tbl_PLL[[#This Row],[BB_Stdev]]))</f>
        <v/>
      </c>
      <c r="M12" s="46">
        <f>IF(ROW(tbl_PLL[[#This Row],[Adj Close]])=5, 0, $F12-$F11)</f>
        <v>-0.13999999999999968</v>
      </c>
      <c r="N12" s="46">
        <f>MAX(tbl_PLL[[#This Row],[Move]],0)</f>
        <v>0</v>
      </c>
      <c r="O12" s="46">
        <f>MAX(-tbl_PLL[[#This Row],[Move]],0)</f>
        <v>0.13999999999999968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IF(tbl_PLL[[#This Row],[Avg_Upmove]]="", "", tbl_PLL[[#This Row],[Avg_Upmove]]/tbl_PLL[[#This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6.47</v>
      </c>
      <c r="C13" s="10">
        <v>6.48</v>
      </c>
      <c r="D13" s="10">
        <v>6.09</v>
      </c>
      <c r="E13" s="10">
        <v>6.18</v>
      </c>
      <c r="F13" s="10">
        <v>6.18</v>
      </c>
      <c r="G13">
        <v>59400</v>
      </c>
      <c r="H13" s="10">
        <f>IF(tbl_PLL[[#This Row],[Date]]=$A$5, $F13, EMA_Beta*$H12 + (1-EMA_Beta)*$F13)</f>
        <v>6.4812059556000001</v>
      </c>
      <c r="I13" s="46" t="str">
        <f ca="1">IF(tbl_PLL[[#This Row],[RS]]= "", "", 100-(100/(1+tbl_PLL[[#This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IF(tbl_PLL[[#This Row],[BB_Mean]]="", "", tbl_PLL[[#This Row],[BB_Mean]]+(BB_Width*tbl_PLL[[#This Row],[BB_Stdev]]))</f>
        <v/>
      </c>
      <c r="L13" s="10" t="str">
        <f ca="1">IF(tbl_PLL[[#This Row],[BB_Mean]]="", "", tbl_PLL[[#This Row],[BB_Mean]]-(BB_Width*tbl_PLL[[#This Row],[BB_Stdev]]))</f>
        <v/>
      </c>
      <c r="M13" s="46">
        <f>IF(ROW(tbl_PLL[[#This Row],[Adj Close]])=5, 0, $F13-$F12)</f>
        <v>-0.22000000000000064</v>
      </c>
      <c r="N13" s="46">
        <f>MAX(tbl_PLL[[#This Row],[Move]],0)</f>
        <v>0</v>
      </c>
      <c r="O13" s="46">
        <f>MAX(-tbl_PLL[[#This Row],[Move]],0)</f>
        <v>0.22000000000000064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IF(tbl_PLL[[#This Row],[Avg_Upmove]]="", "", tbl_PLL[[#This Row],[Avg_Upmove]]/tbl_PLL[[#This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6.18</v>
      </c>
      <c r="C14" s="10">
        <v>6.2</v>
      </c>
      <c r="D14" s="10">
        <v>6</v>
      </c>
      <c r="E14" s="10">
        <v>6.05</v>
      </c>
      <c r="F14" s="10">
        <v>6.05</v>
      </c>
      <c r="G14">
        <v>82500</v>
      </c>
      <c r="H14" s="10">
        <f>IF(tbl_PLL[[#This Row],[Date]]=$A$5, $F14, EMA_Beta*$H13 + (1-EMA_Beta)*$F14)</f>
        <v>6.4380853600399996</v>
      </c>
      <c r="I14" s="46" t="str">
        <f ca="1">IF(tbl_PLL[[#This Row],[RS]]= "", "", 100-(100/(1+tbl_PLL[[#This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IF(tbl_PLL[[#This Row],[BB_Mean]]="", "", tbl_PLL[[#This Row],[BB_Mean]]+(BB_Width*tbl_PLL[[#This Row],[BB_Stdev]]))</f>
        <v/>
      </c>
      <c r="L14" s="10" t="str">
        <f ca="1">IF(tbl_PLL[[#This Row],[BB_Mean]]="", "", tbl_PLL[[#This Row],[BB_Mean]]-(BB_Width*tbl_PLL[[#This Row],[BB_Stdev]]))</f>
        <v/>
      </c>
      <c r="M14" s="46">
        <f>IF(ROW(tbl_PLL[[#This Row],[Adj Close]])=5, 0, $F14-$F13)</f>
        <v>-0.12999999999999989</v>
      </c>
      <c r="N14" s="46">
        <f>MAX(tbl_PLL[[#This Row],[Move]],0)</f>
        <v>0</v>
      </c>
      <c r="O14" s="46">
        <f>MAX(-tbl_PLL[[#This Row],[Move]],0)</f>
        <v>0.12999999999999989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IF(tbl_PLL[[#This Row],[Avg_Upmove]]="", "", tbl_PLL[[#This Row],[Avg_Upmove]]/tbl_PLL[[#This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6.11</v>
      </c>
      <c r="C15" s="10">
        <v>6.14</v>
      </c>
      <c r="D15" s="10">
        <v>5.8</v>
      </c>
      <c r="E15" s="10">
        <v>5.98</v>
      </c>
      <c r="F15" s="10">
        <v>5.98</v>
      </c>
      <c r="G15">
        <v>65100</v>
      </c>
      <c r="H15" s="10">
        <f>IF(tbl_PLL[[#This Row],[Date]]=$A$5, $F15, EMA_Beta*$H14 + (1-EMA_Beta)*$F15)</f>
        <v>6.3922768240359993</v>
      </c>
      <c r="I15" s="46" t="str">
        <f ca="1">IF(tbl_PLL[[#This Row],[RS]]= "", "", 100-(100/(1+tbl_PLL[[#This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IF(tbl_PLL[[#This Row],[BB_Mean]]="", "", tbl_PLL[[#This Row],[BB_Mean]]+(BB_Width*tbl_PLL[[#This Row],[BB_Stdev]]))</f>
        <v/>
      </c>
      <c r="L15" s="10" t="str">
        <f ca="1">IF(tbl_PLL[[#This Row],[BB_Mean]]="", "", tbl_PLL[[#This Row],[BB_Mean]]-(BB_Width*tbl_PLL[[#This Row],[BB_Stdev]]))</f>
        <v/>
      </c>
      <c r="M15" s="46">
        <f>IF(ROW(tbl_PLL[[#This Row],[Adj Close]])=5, 0, $F15-$F14)</f>
        <v>-6.9999999999999396E-2</v>
      </c>
      <c r="N15" s="46">
        <f>MAX(tbl_PLL[[#This Row],[Move]],0)</f>
        <v>0</v>
      </c>
      <c r="O15" s="46">
        <f>MAX(-tbl_PLL[[#This Row],[Move]],0)</f>
        <v>6.9999999999999396E-2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IF(tbl_PLL[[#This Row],[Avg_Upmove]]="", "", tbl_PLL[[#This Row],[Avg_Upmove]]/tbl_PLL[[#This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5.95</v>
      </c>
      <c r="C16" s="10">
        <v>6.17</v>
      </c>
      <c r="D16" s="10">
        <v>5.94</v>
      </c>
      <c r="E16" s="10">
        <v>6.08</v>
      </c>
      <c r="F16" s="10">
        <v>6.08</v>
      </c>
      <c r="G16">
        <v>34000</v>
      </c>
      <c r="H16" s="10">
        <f>IF(tbl_PLL[[#This Row],[Date]]=$A$5, $F16, EMA_Beta*$H15 + (1-EMA_Beta)*$F16)</f>
        <v>6.3610491416323995</v>
      </c>
      <c r="I16" s="46" t="str">
        <f ca="1">IF(tbl_PLL[[#This Row],[RS]]= "", "", 100-(100/(1+tbl_PLL[[#This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IF(tbl_PLL[[#This Row],[BB_Mean]]="", "", tbl_PLL[[#This Row],[BB_Mean]]+(BB_Width*tbl_PLL[[#This Row],[BB_Stdev]]))</f>
        <v/>
      </c>
      <c r="L16" s="10" t="str">
        <f ca="1">IF(tbl_PLL[[#This Row],[BB_Mean]]="", "", tbl_PLL[[#This Row],[BB_Mean]]-(BB_Width*tbl_PLL[[#This Row],[BB_Stdev]]))</f>
        <v/>
      </c>
      <c r="M16" s="46">
        <f>IF(ROW(tbl_PLL[[#This Row],[Adj Close]])=5, 0, $F16-$F15)</f>
        <v>9.9999999999999645E-2</v>
      </c>
      <c r="N16" s="46">
        <f>MAX(tbl_PLL[[#This Row],[Move]],0)</f>
        <v>9.9999999999999645E-2</v>
      </c>
      <c r="O16" s="46">
        <f>MAX(-tbl_PLL[[#This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IF(tbl_PLL[[#This Row],[Avg_Upmove]]="", "", tbl_PLL[[#This Row],[Avg_Upmove]]/tbl_PLL[[#This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6.15</v>
      </c>
      <c r="C17" s="10">
        <v>6.15</v>
      </c>
      <c r="D17" s="10">
        <v>5.82</v>
      </c>
      <c r="E17" s="10">
        <v>6.15</v>
      </c>
      <c r="F17" s="10">
        <v>6.15</v>
      </c>
      <c r="G17">
        <v>54400</v>
      </c>
      <c r="H17" s="10">
        <f>IF(tbl_PLL[[#This Row],[Date]]=$A$5, $F17, EMA_Beta*$H16 + (1-EMA_Beta)*$F17)</f>
        <v>6.33994422746916</v>
      </c>
      <c r="I17" s="46" t="str">
        <f ca="1">IF(tbl_PLL[[#This Row],[RS]]= "", "", 100-(100/(1+tbl_PLL[[#This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IF(tbl_PLL[[#This Row],[BB_Mean]]="", "", tbl_PLL[[#This Row],[BB_Mean]]+(BB_Width*tbl_PLL[[#This Row],[BB_Stdev]]))</f>
        <v/>
      </c>
      <c r="L17" s="10" t="str">
        <f ca="1">IF(tbl_PLL[[#This Row],[BB_Mean]]="", "", tbl_PLL[[#This Row],[BB_Mean]]-(BB_Width*tbl_PLL[[#This Row],[BB_Stdev]]))</f>
        <v/>
      </c>
      <c r="M17" s="46">
        <f>IF(ROW(tbl_PLL[[#This Row],[Adj Close]])=5, 0, $F17-$F16)</f>
        <v>7.0000000000000284E-2</v>
      </c>
      <c r="N17" s="46">
        <f>MAX(tbl_PLL[[#This Row],[Move]],0)</f>
        <v>7.0000000000000284E-2</v>
      </c>
      <c r="O17" s="46">
        <f>MAX(-tbl_PLL[[#This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IF(tbl_PLL[[#This Row],[Avg_Upmove]]="", "", tbl_PLL[[#This Row],[Avg_Upmove]]/tbl_PLL[[#This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6.13</v>
      </c>
      <c r="C18" s="10">
        <v>6.25</v>
      </c>
      <c r="D18" s="10">
        <v>5.95</v>
      </c>
      <c r="E18" s="10">
        <v>6.19</v>
      </c>
      <c r="F18" s="10">
        <v>6.19</v>
      </c>
      <c r="G18">
        <v>48100</v>
      </c>
      <c r="H18" s="10">
        <f>IF(tbl_PLL[[#This Row],[Date]]=$A$5, $F18, EMA_Beta*$H17 + (1-EMA_Beta)*$F18)</f>
        <v>6.3249498047222437</v>
      </c>
      <c r="I18" s="46" t="str">
        <f ca="1">IF(tbl_PLL[[#This Row],[RS]]= "", "", 100-(100/(1+tbl_PLL[[#This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6.3157142857142858</v>
      </c>
      <c r="K18" s="10">
        <f ca="1">IF(tbl_PLL[[#This Row],[BB_Mean]]="", "", tbl_PLL[[#This Row],[BB_Mean]]+(BB_Width*tbl_PLL[[#This Row],[BB_Stdev]]))</f>
        <v>6.7318292317948707</v>
      </c>
      <c r="L18" s="10">
        <f ca="1">IF(tbl_PLL[[#This Row],[BB_Mean]]="", "", tbl_PLL[[#This Row],[BB_Mean]]-(BB_Width*tbl_PLL[[#This Row],[BB_Stdev]]))</f>
        <v>5.899599339633701</v>
      </c>
      <c r="M18" s="46">
        <f>IF(ROW(tbl_PLL[[#This Row],[Adj Close]])=5, 0, $F18-$F17)</f>
        <v>4.0000000000000036E-2</v>
      </c>
      <c r="N18" s="46">
        <f>MAX(tbl_PLL[[#This Row],[Move]],0)</f>
        <v>4.0000000000000036E-2</v>
      </c>
      <c r="O18" s="46">
        <f>MAX(-tbl_PLL[[#This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IF(tbl_PLL[[#This Row],[Avg_Upmove]]="", "", tbl_PLL[[#This Row],[Avg_Upmove]]/tbl_PLL[[#This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0.20805747304029254</v>
      </c>
    </row>
    <row r="19" spans="1:19" x14ac:dyDescent="0.35">
      <c r="A19" s="8">
        <v>44071</v>
      </c>
      <c r="B19" s="10">
        <v>6.28</v>
      </c>
      <c r="C19" s="10">
        <v>6.28</v>
      </c>
      <c r="D19" s="10">
        <v>5.94</v>
      </c>
      <c r="E19" s="10">
        <v>6.05</v>
      </c>
      <c r="F19" s="10">
        <v>6.05</v>
      </c>
      <c r="G19">
        <v>95900</v>
      </c>
      <c r="H19" s="10">
        <f>IF(tbl_PLL[[#This Row],[Date]]=$A$5, $F19, EMA_Beta*$H18 + (1-EMA_Beta)*$F19)</f>
        <v>6.2974548242500186</v>
      </c>
      <c r="I19" s="46">
        <f ca="1">IF(tbl_PLL[[#This Row],[RS]]= "", "", 100-(100/(1+tbl_PLL[[#This Row],[RS]])))</f>
        <v>32.191780821917789</v>
      </c>
      <c r="J19" s="10">
        <f ca="1">IF(ROW($N19)-4&lt;BB_Periods, "", AVERAGE(INDIRECT(ADDRESS(ROW($F19)-RSI_Periods +1, MATCH("Adj Close", Price_Header,0))): INDIRECT(ADDRESS(ROW($F19),MATCH("Adj Close", Price_Header,0)))))</f>
        <v>6.2785714285714276</v>
      </c>
      <c r="K19" s="10">
        <f ca="1">IF(tbl_PLL[[#This Row],[BB_Mean]]="", "", tbl_PLL[[#This Row],[BB_Mean]]+(BB_Width*tbl_PLL[[#This Row],[BB_Stdev]]))</f>
        <v>6.6897129645871436</v>
      </c>
      <c r="L19" s="10">
        <f ca="1">IF(tbl_PLL[[#This Row],[BB_Mean]]="", "", tbl_PLL[[#This Row],[BB_Mean]]-(BB_Width*tbl_PLL[[#This Row],[BB_Stdev]]))</f>
        <v>5.8674298925557116</v>
      </c>
      <c r="M19" s="46">
        <f>IF(ROW(tbl_PLL[[#This Row],[Adj Close]])=5, 0, $F19-$F18)</f>
        <v>-0.14000000000000057</v>
      </c>
      <c r="N19" s="46">
        <f>MAX(tbl_PLL[[#This Row],[Move]],0)</f>
        <v>0</v>
      </c>
      <c r="O19" s="46">
        <f>MAX(-tbl_PLL[[#This Row],[Move]],0)</f>
        <v>0.14000000000000057</v>
      </c>
      <c r="P19" s="46">
        <f ca="1">IF(ROW($N19)-5&lt;RSI_Periods, "", AVERAGE(INDIRECT(ADDRESS(ROW($N19)-RSI_Periods +1, MATCH("Upmove", Price_Header,0))): INDIRECT(ADDRESS(ROW($N19),MATCH("Upmove", Price_Header,0)))))</f>
        <v>3.3571428571428551E-2</v>
      </c>
      <c r="Q19" s="46">
        <f ca="1">IF(ROW($O19)-5&lt;RSI_Periods, "", AVERAGE(INDIRECT(ADDRESS(ROW($O19)-RSI_Periods +1, MATCH("Downmove", Price_Header,0))): INDIRECT(ADDRESS(ROW($O19),MATCH("Downmove", Price_Header,0)))))</f>
        <v>7.071428571428573E-2</v>
      </c>
      <c r="R19" s="46">
        <f ca="1">IF(tbl_PLL[[#This Row],[Avg_Upmove]]="", "", tbl_PLL[[#This Row],[Avg_Upmove]]/tbl_PLL[[#This Row],[Avg_Downmove]])</f>
        <v>0.47474747474747436</v>
      </c>
      <c r="S19" s="10">
        <f ca="1">IF(ROW($N19)-4&lt;BB_Periods, "", _xlfn.STDEV.S(INDIRECT(ADDRESS(ROW($F19)-RSI_Periods +1, MATCH("Adj Close", Price_Header,0))): INDIRECT(ADDRESS(ROW($F19),MATCH("Adj Close", Price_Header,0)))))</f>
        <v>0.20557076800785815</v>
      </c>
    </row>
    <row r="20" spans="1:19" x14ac:dyDescent="0.35">
      <c r="A20" s="8">
        <v>44074</v>
      </c>
      <c r="B20" s="10">
        <v>6.14</v>
      </c>
      <c r="C20" s="10">
        <v>6.28</v>
      </c>
      <c r="D20" s="10">
        <v>5.94</v>
      </c>
      <c r="E20" s="10">
        <v>6.06</v>
      </c>
      <c r="F20" s="10">
        <v>6.06</v>
      </c>
      <c r="G20">
        <v>67800</v>
      </c>
      <c r="H20" s="10">
        <f>IF(tbl_PLL[[#This Row],[Date]]=$A$5, $F20, EMA_Beta*$H19 + (1-EMA_Beta)*$F20)</f>
        <v>6.2737093418250165</v>
      </c>
      <c r="I20" s="46">
        <f ca="1">IF(tbl_PLL[[#This Row],[RS]]= "", "", 100-(100/(1+tbl_PLL[[#This Row],[RS]])))</f>
        <v>34.042553191489347</v>
      </c>
      <c r="J20" s="10">
        <f ca="1">IF(ROW($N20)-4&lt;BB_Periods, "", AVERAGE(INDIRECT(ADDRESS(ROW($F20)-RSI_Periods +1, MATCH("Adj Close", Price_Header,0))): INDIRECT(ADDRESS(ROW($F20),MATCH("Adj Close", Price_Header,0)))))</f>
        <v>6.2464285714285719</v>
      </c>
      <c r="K20" s="10">
        <f ca="1">IF(tbl_PLL[[#This Row],[BB_Mean]]="", "", tbl_PLL[[#This Row],[BB_Mean]]+(BB_Width*tbl_PLL[[#This Row],[BB_Stdev]]))</f>
        <v>6.649921561958263</v>
      </c>
      <c r="L20" s="10">
        <f ca="1">IF(tbl_PLL[[#This Row],[BB_Mean]]="", "", tbl_PLL[[#This Row],[BB_Mean]]-(BB_Width*tbl_PLL[[#This Row],[BB_Stdev]]))</f>
        <v>5.8429355808988808</v>
      </c>
      <c r="M20" s="46">
        <f>IF(ROW(tbl_PLL[[#This Row],[Adj Close]])=5, 0, $F20-$F19)</f>
        <v>9.9999999999997868E-3</v>
      </c>
      <c r="N20" s="46">
        <f>MAX(tbl_PLL[[#This Row],[Move]],0)</f>
        <v>9.9999999999997868E-3</v>
      </c>
      <c r="O20" s="46">
        <f>MAX(-tbl_PLL[[#This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3.4285714285714253E-2</v>
      </c>
      <c r="Q20" s="46">
        <f ca="1">IF(ROW($O20)-5&lt;RSI_Periods, "", AVERAGE(INDIRECT(ADDRESS(ROW($O20)-RSI_Periods +1, MATCH("Downmove", Price_Header,0))): INDIRECT(ADDRESS(ROW($O20),MATCH("Downmove", Price_Header,0)))))</f>
        <v>6.6428571428571406E-2</v>
      </c>
      <c r="R20" s="46">
        <f ca="1">IF(tbl_PLL[[#This Row],[Avg_Upmove]]="", "", tbl_PLL[[#This Row],[Avg_Upmove]]/tbl_PLL[[#This Row],[Avg_Downmove]])</f>
        <v>0.51612903225806417</v>
      </c>
      <c r="S20" s="10">
        <f ca="1">IF(ROW($N20)-4&lt;BB_Periods, "", _xlfn.STDEV.S(INDIRECT(ADDRESS(ROW($F20)-RSI_Periods +1, MATCH("Adj Close", Price_Header,0))): INDIRECT(ADDRESS(ROW($F20),MATCH("Adj Close", Price_Header,0)))))</f>
        <v>0.20174649526484553</v>
      </c>
    </row>
    <row r="21" spans="1:19" x14ac:dyDescent="0.35">
      <c r="A21" s="8">
        <v>44075</v>
      </c>
      <c r="B21" s="10">
        <v>6.01</v>
      </c>
      <c r="C21" s="10">
        <v>6.11</v>
      </c>
      <c r="D21" s="10">
        <v>5.86</v>
      </c>
      <c r="E21" s="10">
        <v>6.1</v>
      </c>
      <c r="F21" s="10">
        <v>6.1</v>
      </c>
      <c r="G21">
        <v>67300</v>
      </c>
      <c r="H21" s="10">
        <f>IF(tbl_PLL[[#This Row],[Date]]=$A$5, $F21, EMA_Beta*$H20 + (1-EMA_Beta)*$F21)</f>
        <v>6.2563384076425148</v>
      </c>
      <c r="I21" s="46">
        <f ca="1">IF(tbl_PLL[[#This Row],[RS]]= "", "", 100-(100/(1+tbl_PLL[[#This Row],[RS]])))</f>
        <v>40.624999999999979</v>
      </c>
      <c r="J21" s="10">
        <f ca="1">IF(ROW($N21)-4&lt;BB_Periods, "", AVERAGE(INDIRECT(ADDRESS(ROW($F21)-RSI_Periods +1, MATCH("Adj Close", Price_Header,0))): INDIRECT(ADDRESS(ROW($F21),MATCH("Adj Close", Price_Header,0)))))</f>
        <v>6.2292857142857141</v>
      </c>
      <c r="K21" s="10">
        <f ca="1">IF(tbl_PLL[[#This Row],[BB_Mean]]="", "", tbl_PLL[[#This Row],[BB_Mean]]+(BB_Width*tbl_PLL[[#This Row],[BB_Stdev]]))</f>
        <v>6.6360337395347075</v>
      </c>
      <c r="L21" s="10">
        <f ca="1">IF(tbl_PLL[[#This Row],[BB_Mean]]="", "", tbl_PLL[[#This Row],[BB_Mean]]-(BB_Width*tbl_PLL[[#This Row],[BB_Stdev]]))</f>
        <v>5.8225376890367206</v>
      </c>
      <c r="M21" s="46">
        <f>IF(ROW(tbl_PLL[[#This Row],[Adj Close]])=5, 0, $F21-$F20)</f>
        <v>4.0000000000000036E-2</v>
      </c>
      <c r="N21" s="46">
        <f>MAX(tbl_PLL[[#This Row],[Move]],0)</f>
        <v>4.0000000000000036E-2</v>
      </c>
      <c r="O21" s="46">
        <f>MAX(-tbl_PLL[[#This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3.7142857142857109E-2</v>
      </c>
      <c r="Q21" s="46">
        <f ca="1">IF(ROW($O21)-5&lt;RSI_Periods, "", AVERAGE(INDIRECT(ADDRESS(ROW($O21)-RSI_Periods +1, MATCH("Downmove", Price_Header,0))): INDIRECT(ADDRESS(ROW($O21),MATCH("Downmove", Price_Header,0)))))</f>
        <v>5.428571428571427E-2</v>
      </c>
      <c r="R21" s="46">
        <f ca="1">IF(tbl_PLL[[#This Row],[Avg_Upmove]]="", "", tbl_PLL[[#This Row],[Avg_Upmove]]/tbl_PLL[[#This Row],[Avg_Downmove]])</f>
        <v>0.68421052631578905</v>
      </c>
      <c r="S21" s="10">
        <f ca="1">IF(ROW($N21)-4&lt;BB_Periods, "", _xlfn.STDEV.S(INDIRECT(ADDRESS(ROW($F21)-RSI_Periods +1, MATCH("Adj Close", Price_Header,0))): INDIRECT(ADDRESS(ROW($F21),MATCH("Adj Close", Price_Header,0)))))</f>
        <v>0.20337401262449689</v>
      </c>
    </row>
    <row r="22" spans="1:19" x14ac:dyDescent="0.35">
      <c r="A22" s="8">
        <v>44076</v>
      </c>
      <c r="B22" s="10">
        <v>6.3</v>
      </c>
      <c r="C22" s="10">
        <v>6.37</v>
      </c>
      <c r="D22" s="10">
        <v>6.1</v>
      </c>
      <c r="E22" s="10">
        <v>6.2</v>
      </c>
      <c r="F22" s="10">
        <v>6.2</v>
      </c>
      <c r="G22">
        <v>76400</v>
      </c>
      <c r="H22" s="10">
        <f>IF(tbl_PLL[[#This Row],[Date]]=$A$5, $F22, EMA_Beta*$H21 + (1-EMA_Beta)*$F22)</f>
        <v>6.2507045668782633</v>
      </c>
      <c r="I22" s="46">
        <f ca="1">IF(tbl_PLL[[#This Row],[RS]]= "", "", 100-(100/(1+tbl_PLL[[#This Row],[RS]])))</f>
        <v>42.857142857142875</v>
      </c>
      <c r="J22" s="10">
        <f ca="1">IF(ROW($N22)-4&lt;BB_Periods, "", AVERAGE(INDIRECT(ADDRESS(ROW($F22)-RSI_Periods +1, MATCH("Adj Close", Price_Header,0))): INDIRECT(ADDRESS(ROW($F22),MATCH("Adj Close", Price_Header,0)))))</f>
        <v>6.2157142857142853</v>
      </c>
      <c r="K22" s="10">
        <f ca="1">IF(tbl_PLL[[#This Row],[BB_Mean]]="", "", tbl_PLL[[#This Row],[BB_Mean]]+(BB_Width*tbl_PLL[[#This Row],[BB_Stdev]]))</f>
        <v>6.6119049380106674</v>
      </c>
      <c r="L22" s="10">
        <f ca="1">IF(tbl_PLL[[#This Row],[BB_Mean]]="", "", tbl_PLL[[#This Row],[BB_Mean]]-(BB_Width*tbl_PLL[[#This Row],[BB_Stdev]]))</f>
        <v>5.8195236334179032</v>
      </c>
      <c r="M22" s="46">
        <f>IF(ROW(tbl_PLL[[#This Row],[Adj Close]])=5, 0, $F22-$F21)</f>
        <v>0.10000000000000053</v>
      </c>
      <c r="N22" s="46">
        <f>MAX(tbl_PLL[[#This Row],[Move]],0)</f>
        <v>0.10000000000000053</v>
      </c>
      <c r="O22" s="46">
        <f>MAX(-tbl_PLL[[#This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4.0714285714285738E-2</v>
      </c>
      <c r="Q22" s="46">
        <f ca="1">IF(ROW($O22)-5&lt;RSI_Periods, "", AVERAGE(INDIRECT(ADDRESS(ROW($O22)-RSI_Periods +1, MATCH("Downmove", Price_Header,0))): INDIRECT(ADDRESS(ROW($O22),MATCH("Downmove", Price_Header,0)))))</f>
        <v>5.428571428571427E-2</v>
      </c>
      <c r="R22" s="46">
        <f ca="1">IF(tbl_PLL[[#This Row],[Avg_Upmove]]="", "", tbl_PLL[[#This Row],[Avg_Upmove]]/tbl_PLL[[#This Row],[Avg_Downmove]])</f>
        <v>0.75000000000000067</v>
      </c>
      <c r="S22" s="10">
        <f ca="1">IF(ROW($N22)-4&lt;BB_Periods, "", _xlfn.STDEV.S(INDIRECT(ADDRESS(ROW($F22)-RSI_Periods +1, MATCH("Adj Close", Price_Header,0))): INDIRECT(ADDRESS(ROW($F22),MATCH("Adj Close", Price_Header,0)))))</f>
        <v>0.1980953261481912</v>
      </c>
    </row>
    <row r="23" spans="1:19" x14ac:dyDescent="0.35">
      <c r="A23" s="8">
        <v>44077</v>
      </c>
      <c r="B23" s="10">
        <v>6.25</v>
      </c>
      <c r="C23" s="10">
        <v>6.27</v>
      </c>
      <c r="D23" s="10">
        <v>6.01</v>
      </c>
      <c r="E23" s="10">
        <v>6.19</v>
      </c>
      <c r="F23" s="10">
        <v>6.19</v>
      </c>
      <c r="G23">
        <v>46400</v>
      </c>
      <c r="H23" s="10">
        <f>IF(tbl_PLL[[#This Row],[Date]]=$A$5, $F23, EMA_Beta*$H22 + (1-EMA_Beta)*$F23)</f>
        <v>6.2446341101904368</v>
      </c>
      <c r="I23" s="46">
        <f ca="1">IF(tbl_PLL[[#This Row],[RS]]= "", "", 100-(100/(1+tbl_PLL[[#This Row],[RS]])))</f>
        <v>40.310077519379838</v>
      </c>
      <c r="J23" s="10">
        <f ca="1">IF(ROW($N23)-4&lt;BB_Periods, "", AVERAGE(INDIRECT(ADDRESS(ROW($F23)-RSI_Periods +1, MATCH("Adj Close", Price_Header,0))): INDIRECT(ADDRESS(ROW($F23),MATCH("Adj Close", Price_Header,0)))))</f>
        <v>6.1978571428571412</v>
      </c>
      <c r="K23" s="10">
        <f ca="1">IF(tbl_PLL[[#This Row],[BB_Mean]]="", "", tbl_PLL[[#This Row],[BB_Mean]]+(BB_Width*tbl_PLL[[#This Row],[BB_Stdev]]))</f>
        <v>6.5724484952916056</v>
      </c>
      <c r="L23" s="10">
        <f ca="1">IF(tbl_PLL[[#This Row],[BB_Mean]]="", "", tbl_PLL[[#This Row],[BB_Mean]]-(BB_Width*tbl_PLL[[#This Row],[BB_Stdev]]))</f>
        <v>5.8232657904226768</v>
      </c>
      <c r="M23" s="46">
        <f>IF(ROW(tbl_PLL[[#This Row],[Adj Close]])=5, 0, $F23-$F22)</f>
        <v>-9.9999999999997868E-3</v>
      </c>
      <c r="N23" s="46">
        <f>MAX(tbl_PLL[[#This Row],[Move]],0)</f>
        <v>0</v>
      </c>
      <c r="O23" s="46">
        <f>MAX(-tbl_PLL[[#This Row],[Move]],0)</f>
        <v>9.9999999999997868E-3</v>
      </c>
      <c r="P23" s="46">
        <f ca="1">IF(ROW($N23)-5&lt;RSI_Periods, "", AVERAGE(INDIRECT(ADDRESS(ROW($N23)-RSI_Periods +1, MATCH("Upmove", Price_Header,0))): INDIRECT(ADDRESS(ROW($N23),MATCH("Upmove", Price_Header,0)))))</f>
        <v>3.7142857142857109E-2</v>
      </c>
      <c r="Q23" s="46">
        <f ca="1">IF(ROW($O23)-5&lt;RSI_Periods, "", AVERAGE(INDIRECT(ADDRESS(ROW($O23)-RSI_Periods +1, MATCH("Downmove", Price_Header,0))): INDIRECT(ADDRESS(ROW($O23),MATCH("Downmove", Price_Header,0)))))</f>
        <v>5.4999999999999973E-2</v>
      </c>
      <c r="R23" s="46">
        <f ca="1">IF(tbl_PLL[[#This Row],[Avg_Upmove]]="", "", tbl_PLL[[#This Row],[Avg_Upmove]]/tbl_PLL[[#This Row],[Avg_Downmove]])</f>
        <v>0.67532467532467511</v>
      </c>
      <c r="S23" s="10">
        <f ca="1">IF(ROW($N23)-4&lt;BB_Periods, "", _xlfn.STDEV.S(INDIRECT(ADDRESS(ROW($F23)-RSI_Periods +1, MATCH("Adj Close", Price_Header,0))): INDIRECT(ADDRESS(ROW($F23),MATCH("Adj Close", Price_Header,0)))))</f>
        <v>0.18729567621723231</v>
      </c>
    </row>
    <row r="24" spans="1:19" x14ac:dyDescent="0.35">
      <c r="A24" s="8">
        <v>44078</v>
      </c>
      <c r="B24" s="10">
        <v>6.11</v>
      </c>
      <c r="C24" s="10">
        <v>6.17</v>
      </c>
      <c r="D24" s="10">
        <v>5.87</v>
      </c>
      <c r="E24" s="10">
        <v>6.06</v>
      </c>
      <c r="F24" s="10">
        <v>6.06</v>
      </c>
      <c r="G24">
        <v>46800</v>
      </c>
      <c r="H24" s="10">
        <f>IF(tbl_PLL[[#This Row],[Date]]=$A$5, $F24, EMA_Beta*$H23 + (1-EMA_Beta)*$F24)</f>
        <v>6.2261706991713934</v>
      </c>
      <c r="I24" s="46">
        <f ca="1">IF(tbl_PLL[[#This Row],[RS]]= "", "", 100-(100/(1+tbl_PLL[[#This Row],[RS]])))</f>
        <v>28.571428571428584</v>
      </c>
      <c r="J24" s="10">
        <f ca="1">IF(ROW($N24)-4&lt;BB_Periods, "", AVERAGE(INDIRECT(ADDRESS(ROW($F24)-RSI_Periods +1, MATCH("Adj Close", Price_Header,0))): INDIRECT(ADDRESS(ROW($F24),MATCH("Adj Close", Price_Header,0)))))</f>
        <v>6.1592857142857147</v>
      </c>
      <c r="K24" s="10">
        <f ca="1">IF(tbl_PLL[[#This Row],[BB_Mean]]="", "", tbl_PLL[[#This Row],[BB_Mean]]+(BB_Width*tbl_PLL[[#This Row],[BB_Stdev]]))</f>
        <v>6.4592820512596889</v>
      </c>
      <c r="L24" s="10">
        <f ca="1">IF(tbl_PLL[[#This Row],[BB_Mean]]="", "", tbl_PLL[[#This Row],[BB_Mean]]-(BB_Width*tbl_PLL[[#This Row],[BB_Stdev]]))</f>
        <v>5.8592893773117405</v>
      </c>
      <c r="M24" s="46">
        <f>IF(ROW(tbl_PLL[[#This Row],[Adj Close]])=5, 0, $F24-$F23)</f>
        <v>-0.13000000000000078</v>
      </c>
      <c r="N24" s="46">
        <f>MAX(tbl_PLL[[#This Row],[Move]],0)</f>
        <v>0</v>
      </c>
      <c r="O24" s="46">
        <f>MAX(-tbl_PLL[[#This Row],[Move]],0)</f>
        <v>0.13000000000000078</v>
      </c>
      <c r="P24" s="46">
        <f ca="1">IF(ROW($N24)-5&lt;RSI_Periods, "", AVERAGE(INDIRECT(ADDRESS(ROW($N24)-RSI_Periods +1, MATCH("Upmove", Price_Header,0))): INDIRECT(ADDRESS(ROW($N24),MATCH("Upmove", Price_Header,0)))))</f>
        <v>2.5714285714285738E-2</v>
      </c>
      <c r="Q24" s="46">
        <f ca="1">IF(ROW($O24)-5&lt;RSI_Periods, "", AVERAGE(INDIRECT(ADDRESS(ROW($O24)-RSI_Periods +1, MATCH("Downmove", Price_Header,0))): INDIRECT(ADDRESS(ROW($O24),MATCH("Downmove", Price_Header,0)))))</f>
        <v>6.4285714285714307E-2</v>
      </c>
      <c r="R24" s="46">
        <f ca="1">IF(tbl_PLL[[#This Row],[Avg_Upmove]]="", "", tbl_PLL[[#This Row],[Avg_Upmove]]/tbl_PLL[[#This Row],[Avg_Downmove]])</f>
        <v>0.40000000000000024</v>
      </c>
      <c r="S24" s="10">
        <f ca="1">IF(ROW($N24)-4&lt;BB_Periods, "", _xlfn.STDEV.S(INDIRECT(ADDRESS(ROW($F24)-RSI_Periods +1, MATCH("Adj Close", Price_Header,0))): INDIRECT(ADDRESS(ROW($F24),MATCH("Adj Close", Price_Header,0)))))</f>
        <v>0.14999816848698713</v>
      </c>
    </row>
    <row r="25" spans="1:19" x14ac:dyDescent="0.35">
      <c r="A25" s="8">
        <v>44082</v>
      </c>
      <c r="B25" s="10">
        <v>5.94</v>
      </c>
      <c r="C25" s="10">
        <v>6.11</v>
      </c>
      <c r="D25" s="10">
        <v>5.87</v>
      </c>
      <c r="E25" s="10">
        <v>6.01</v>
      </c>
      <c r="F25" s="10">
        <v>6.01</v>
      </c>
      <c r="G25">
        <v>60100</v>
      </c>
      <c r="H25" s="10">
        <f>IF(tbl_PLL[[#This Row],[Date]]=$A$5, $F25, EMA_Beta*$H24 + (1-EMA_Beta)*$F25)</f>
        <v>6.2045536292542538</v>
      </c>
      <c r="I25" s="46">
        <f ca="1">IF(tbl_PLL[[#This Row],[RS]]= "", "", 100-(100/(1+tbl_PLL[[#This Row],[RS]])))</f>
        <v>28.800000000000011</v>
      </c>
      <c r="J25" s="10">
        <f ca="1">IF(ROW($N25)-4&lt;BB_Periods, "", AVERAGE(INDIRECT(ADDRESS(ROW($F25)-RSI_Periods +1, MATCH("Adj Close", Price_Header,0))): INDIRECT(ADDRESS(ROW($F25),MATCH("Adj Close", Price_Header,0)))))</f>
        <v>6.1214285714285719</v>
      </c>
      <c r="K25" s="10">
        <f ca="1">IF(tbl_PLL[[#This Row],[BB_Mean]]="", "", tbl_PLL[[#This Row],[BB_Mean]]+(BB_Width*tbl_PLL[[#This Row],[BB_Stdev]]))</f>
        <v>6.3360992878374862</v>
      </c>
      <c r="L25" s="10">
        <f ca="1">IF(tbl_PLL[[#This Row],[BB_Mean]]="", "", tbl_PLL[[#This Row],[BB_Mean]]-(BB_Width*tbl_PLL[[#This Row],[BB_Stdev]]))</f>
        <v>5.9067578550196576</v>
      </c>
      <c r="M25" s="46">
        <f>IF(ROW(tbl_PLL[[#This Row],[Adj Close]])=5, 0, $F25-$F24)</f>
        <v>-4.9999999999999822E-2</v>
      </c>
      <c r="N25" s="46">
        <f>MAX(tbl_PLL[[#This Row],[Move]],0)</f>
        <v>0</v>
      </c>
      <c r="O25" s="46">
        <f>MAX(-tbl_PLL[[#This Row],[Move]],0)</f>
        <v>4.9999999999999822E-2</v>
      </c>
      <c r="P25" s="46">
        <f ca="1">IF(ROW($N25)-5&lt;RSI_Periods, "", AVERAGE(INDIRECT(ADDRESS(ROW($N25)-RSI_Periods +1, MATCH("Upmove", Price_Header,0))): INDIRECT(ADDRESS(ROW($N25),MATCH("Upmove", Price_Header,0)))))</f>
        <v>2.5714285714285738E-2</v>
      </c>
      <c r="Q25" s="46">
        <f ca="1">IF(ROW($O25)-5&lt;RSI_Periods, "", AVERAGE(INDIRECT(ADDRESS(ROW($O25)-RSI_Periods +1, MATCH("Downmove", Price_Header,0))): INDIRECT(ADDRESS(ROW($O25),MATCH("Downmove", Price_Header,0)))))</f>
        <v>6.3571428571428612E-2</v>
      </c>
      <c r="R25" s="46">
        <f ca="1">IF(tbl_PLL[[#This Row],[Avg_Upmove]]="", "", tbl_PLL[[#This Row],[Avg_Upmove]]/tbl_PLL[[#This Row],[Avg_Downmove]])</f>
        <v>0.40449438202247201</v>
      </c>
      <c r="S25" s="10">
        <f ca="1">IF(ROW($N25)-4&lt;BB_Periods, "", _xlfn.STDEV.S(INDIRECT(ADDRESS(ROW($F25)-RSI_Periods +1, MATCH("Adj Close", Price_Header,0))): INDIRECT(ADDRESS(ROW($F25),MATCH("Adj Close", Price_Header,0)))))</f>
        <v>0.10733535820445726</v>
      </c>
    </row>
    <row r="26" spans="1:19" x14ac:dyDescent="0.35">
      <c r="A26" s="8">
        <v>44083</v>
      </c>
      <c r="B26" s="10">
        <v>6.05</v>
      </c>
      <c r="C26" s="10">
        <v>6.45</v>
      </c>
      <c r="D26" s="10">
        <v>6.05</v>
      </c>
      <c r="E26" s="10">
        <v>6.4</v>
      </c>
      <c r="F26" s="10">
        <v>6.4</v>
      </c>
      <c r="G26">
        <v>39300</v>
      </c>
      <c r="H26" s="10">
        <f>IF(tbl_PLL[[#This Row],[Date]]=$A$5, $F26, EMA_Beta*$H25 + (1-EMA_Beta)*$F26)</f>
        <v>6.224098266328828</v>
      </c>
      <c r="I26" s="46">
        <f ca="1">IF(tbl_PLL[[#This Row],[RS]]= "", "", 100-(100/(1+tbl_PLL[[#This Row],[RS]])))</f>
        <v>50</v>
      </c>
      <c r="J26" s="10">
        <f ca="1">IF(ROW($N26)-4&lt;BB_Periods, "", AVERAGE(INDIRECT(ADDRESS(ROW($F26)-RSI_Periods +1, MATCH("Adj Close", Price_Header,0))): INDIRECT(ADDRESS(ROW($F26),MATCH("Adj Close", Price_Header,0)))))</f>
        <v>6.1214285714285728</v>
      </c>
      <c r="K26" s="10">
        <f ca="1">IF(tbl_PLL[[#This Row],[BB_Mean]]="", "", tbl_PLL[[#This Row],[BB_Mean]]+(BB_Width*tbl_PLL[[#This Row],[BB_Stdev]]))</f>
        <v>6.3360992878374871</v>
      </c>
      <c r="L26" s="10">
        <f ca="1">IF(tbl_PLL[[#This Row],[BB_Mean]]="", "", tbl_PLL[[#This Row],[BB_Mean]]-(BB_Width*tbl_PLL[[#This Row],[BB_Stdev]]))</f>
        <v>5.9067578550196584</v>
      </c>
      <c r="M26" s="46">
        <f>IF(ROW(tbl_PLL[[#This Row],[Adj Close]])=5, 0, $F26-$F25)</f>
        <v>0.39000000000000057</v>
      </c>
      <c r="N26" s="46">
        <f>MAX(tbl_PLL[[#This Row],[Move]],0)</f>
        <v>0.39000000000000057</v>
      </c>
      <c r="O26" s="46">
        <f>MAX(-tbl_PLL[[#This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5.3571428571428638E-2</v>
      </c>
      <c r="Q26" s="46">
        <f ca="1">IF(ROW($O26)-5&lt;RSI_Periods, "", AVERAGE(INDIRECT(ADDRESS(ROW($O26)-RSI_Periods +1, MATCH("Downmove", Price_Header,0))): INDIRECT(ADDRESS(ROW($O26),MATCH("Downmove", Price_Header,0)))))</f>
        <v>5.3571428571428638E-2</v>
      </c>
      <c r="R26" s="46">
        <f ca="1">IF(tbl_PLL[[#This Row],[Avg_Upmove]]="", "", tbl_PLL[[#This Row],[Avg_Upmove]]/tbl_PLL[[#This Row],[Avg_Downmove]])</f>
        <v>1</v>
      </c>
      <c r="S26" s="10">
        <f ca="1">IF(ROW($N26)-4&lt;BB_Periods, "", _xlfn.STDEV.S(INDIRECT(ADDRESS(ROW($F26)-RSI_Periods +1, MATCH("Adj Close", Price_Header,0))): INDIRECT(ADDRESS(ROW($F26),MATCH("Adj Close", Price_Header,0)))))</f>
        <v>0.10733535820445726</v>
      </c>
    </row>
    <row r="27" spans="1:19" x14ac:dyDescent="0.35">
      <c r="A27" s="8">
        <v>44084</v>
      </c>
      <c r="B27" s="10">
        <v>6.49</v>
      </c>
      <c r="C27" s="10">
        <v>6.6</v>
      </c>
      <c r="D27" s="10">
        <v>6.48</v>
      </c>
      <c r="E27" s="10">
        <v>6.6</v>
      </c>
      <c r="F27" s="10">
        <v>6.6</v>
      </c>
      <c r="G27">
        <v>64400</v>
      </c>
      <c r="H27" s="10">
        <f>IF(tbl_PLL[[#This Row],[Date]]=$A$5, $F27, EMA_Beta*$H26 + (1-EMA_Beta)*$F27)</f>
        <v>6.2616884396959458</v>
      </c>
      <c r="I27" s="46">
        <f ca="1">IF(tbl_PLL[[#This Row],[RS]]= "", "", 100-(100/(1+tbl_PLL[[#This Row],[RS]])))</f>
        <v>64.189189189189179</v>
      </c>
      <c r="J27" s="10">
        <f ca="1">IF(ROW($N27)-4&lt;BB_Periods, "", AVERAGE(INDIRECT(ADDRESS(ROW($F27)-RSI_Periods +1, MATCH("Adj Close", Price_Header,0))): INDIRECT(ADDRESS(ROW($F27),MATCH("Adj Close", Price_Header,0)))))</f>
        <v>6.1514285714285721</v>
      </c>
      <c r="K27" s="10">
        <f ca="1">IF(tbl_PLL[[#This Row],[BB_Mean]]="", "", tbl_PLL[[#This Row],[BB_Mean]]+(BB_Width*tbl_PLL[[#This Row],[BB_Stdev]]))</f>
        <v>6.4855273263229565</v>
      </c>
      <c r="L27" s="10">
        <f ca="1">IF(tbl_PLL[[#This Row],[BB_Mean]]="", "", tbl_PLL[[#This Row],[BB_Mean]]-(BB_Width*tbl_PLL[[#This Row],[BB_Stdev]]))</f>
        <v>5.8173298165341878</v>
      </c>
      <c r="M27" s="46">
        <f>IF(ROW(tbl_PLL[[#This Row],[Adj Close]])=5, 0, $F27-$F26)</f>
        <v>0.19999999999999929</v>
      </c>
      <c r="N27" s="46">
        <f>MAX(tbl_PLL[[#This Row],[Move]],0)</f>
        <v>0.19999999999999929</v>
      </c>
      <c r="O27" s="46">
        <f>MAX(-tbl_PLL[[#This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6.7857142857142866E-2</v>
      </c>
      <c r="Q27" s="46">
        <f ca="1">IF(ROW($O27)-5&lt;RSI_Periods, "", AVERAGE(INDIRECT(ADDRESS(ROW($O27)-RSI_Periods +1, MATCH("Downmove", Price_Header,0))): INDIRECT(ADDRESS(ROW($O27),MATCH("Downmove", Price_Header,0)))))</f>
        <v>3.7857142857142874E-2</v>
      </c>
      <c r="R27" s="46">
        <f ca="1">IF(tbl_PLL[[#This Row],[Avg_Upmove]]="", "", tbl_PLL[[#This Row],[Avg_Upmove]]/tbl_PLL[[#This Row],[Avg_Downmove]])</f>
        <v>1.7924528301886786</v>
      </c>
      <c r="S27" s="10">
        <f ca="1">IF(ROW($N27)-4&lt;BB_Periods, "", _xlfn.STDEV.S(INDIRECT(ADDRESS(ROW($F27)-RSI_Periods +1, MATCH("Adj Close", Price_Header,0))): INDIRECT(ADDRESS(ROW($F27),MATCH("Adj Close", Price_Header,0)))))</f>
        <v>0.16704937744719228</v>
      </c>
    </row>
    <row r="28" spans="1:19" x14ac:dyDescent="0.35">
      <c r="A28" s="8">
        <v>44085</v>
      </c>
      <c r="B28" s="10">
        <v>6.6</v>
      </c>
      <c r="C28" s="10">
        <v>7.25</v>
      </c>
      <c r="D28" s="10">
        <v>6.49</v>
      </c>
      <c r="E28" s="10">
        <v>7.05</v>
      </c>
      <c r="F28" s="10">
        <v>7.05</v>
      </c>
      <c r="G28">
        <v>94800</v>
      </c>
      <c r="H28" s="10">
        <f>IF(tbl_PLL[[#This Row],[Date]]=$A$5, $F28, EMA_Beta*$H27 + (1-EMA_Beta)*$F28)</f>
        <v>6.3405195957263514</v>
      </c>
      <c r="I28" s="46">
        <f ca="1">IF(tbl_PLL[[#This Row],[RS]]= "", "", 100-(100/(1+tbl_PLL[[#This Row],[RS]])))</f>
        <v>77.777777777777771</v>
      </c>
      <c r="J28" s="10">
        <f ca="1">IF(ROW($N28)-4&lt;BB_Periods, "", AVERAGE(INDIRECT(ADDRESS(ROW($F28)-RSI_Periods +1, MATCH("Adj Close", Price_Header,0))): INDIRECT(ADDRESS(ROW($F28),MATCH("Adj Close", Price_Header,0)))))</f>
        <v>6.2228571428571433</v>
      </c>
      <c r="K28" s="10">
        <f ca="1">IF(tbl_PLL[[#This Row],[BB_Mean]]="", "", tbl_PLL[[#This Row],[BB_Mean]]+(BB_Width*tbl_PLL[[#This Row],[BB_Stdev]]))</f>
        <v>6.801578735091856</v>
      </c>
      <c r="L28" s="10">
        <f ca="1">IF(tbl_PLL[[#This Row],[BB_Mean]]="", "", tbl_PLL[[#This Row],[BB_Mean]]-(BB_Width*tbl_PLL[[#This Row],[BB_Stdev]]))</f>
        <v>5.6441355506224307</v>
      </c>
      <c r="M28" s="46">
        <f>IF(ROW(tbl_PLL[[#This Row],[Adj Close]])=5, 0, $F28-$F27)</f>
        <v>0.45000000000000018</v>
      </c>
      <c r="N28" s="46">
        <f>MAX(tbl_PLL[[#This Row],[Move]],0)</f>
        <v>0.45000000000000018</v>
      </c>
      <c r="O28" s="46">
        <f>MAX(-tbl_PLL[[#This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0.10000000000000002</v>
      </c>
      <c r="Q28" s="46">
        <f ca="1">IF(ROW($O28)-5&lt;RSI_Periods, "", AVERAGE(INDIRECT(ADDRESS(ROW($O28)-RSI_Periods +1, MATCH("Downmove", Price_Header,0))): INDIRECT(ADDRESS(ROW($O28),MATCH("Downmove", Price_Header,0)))))</f>
        <v>2.8571428571428598E-2</v>
      </c>
      <c r="R28" s="46">
        <f ca="1">IF(tbl_PLL[[#This Row],[Avg_Upmove]]="", "", tbl_PLL[[#This Row],[Avg_Upmove]]/tbl_PLL[[#This Row],[Avg_Downmove]])</f>
        <v>3.4999999999999973</v>
      </c>
      <c r="S28" s="10">
        <f ca="1">IF(ROW($N28)-4&lt;BB_Periods, "", _xlfn.STDEV.S(INDIRECT(ADDRESS(ROW($F28)-RSI_Periods +1, MATCH("Adj Close", Price_Header,0))): INDIRECT(ADDRESS(ROW($F28),MATCH("Adj Close", Price_Header,0)))))</f>
        <v>0.28936079611735643</v>
      </c>
    </row>
    <row r="29" spans="1:19" x14ac:dyDescent="0.35">
      <c r="A29" s="8">
        <v>44088</v>
      </c>
      <c r="B29" s="10">
        <v>7.05</v>
      </c>
      <c r="C29" s="10">
        <v>7.6</v>
      </c>
      <c r="D29" s="10">
        <v>7.02</v>
      </c>
      <c r="E29" s="10">
        <v>7.26</v>
      </c>
      <c r="F29" s="10">
        <v>7.26</v>
      </c>
      <c r="G29">
        <v>91500</v>
      </c>
      <c r="H29" s="10">
        <f>IF(tbl_PLL[[#This Row],[Date]]=$A$5, $F29, EMA_Beta*$H28 + (1-EMA_Beta)*$F29)</f>
        <v>6.4324676361537163</v>
      </c>
      <c r="I29" s="46">
        <f ca="1">IF(tbl_PLL[[#This Row],[RS]]= "", "", 100-(100/(1+tbl_PLL[[#This Row],[RS]])))</f>
        <v>82.989690721649453</v>
      </c>
      <c r="J29" s="10">
        <f ca="1">IF(ROW($N29)-4&lt;BB_Periods, "", AVERAGE(INDIRECT(ADDRESS(ROW($F29)-RSI_Periods +1, MATCH("Adj Close", Price_Header,0))): INDIRECT(ADDRESS(ROW($F29),MATCH("Adj Close", Price_Header,0)))))</f>
        <v>6.3142857142857149</v>
      </c>
      <c r="K29" s="10">
        <f ca="1">IF(tbl_PLL[[#This Row],[BB_Mean]]="", "", tbl_PLL[[#This Row],[BB_Mean]]+(BB_Width*tbl_PLL[[#This Row],[BB_Stdev]]))</f>
        <v>7.0964214210120247</v>
      </c>
      <c r="L29" s="10">
        <f ca="1">IF(tbl_PLL[[#This Row],[BB_Mean]]="", "", tbl_PLL[[#This Row],[BB_Mean]]-(BB_Width*tbl_PLL[[#This Row],[BB_Stdev]]))</f>
        <v>5.5321500075594052</v>
      </c>
      <c r="M29" s="46">
        <f>IF(ROW(tbl_PLL[[#This Row],[Adj Close]])=5, 0, $F29-$F28)</f>
        <v>0.20999999999999996</v>
      </c>
      <c r="N29" s="46">
        <f>MAX(tbl_PLL[[#This Row],[Move]],0)</f>
        <v>0.20999999999999996</v>
      </c>
      <c r="O29" s="46">
        <f>MAX(-tbl_PLL[[#This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0.11500000000000002</v>
      </c>
      <c r="Q29" s="46">
        <f ca="1">IF(ROW($O29)-5&lt;RSI_Periods, "", AVERAGE(INDIRECT(ADDRESS(ROW($O29)-RSI_Periods +1, MATCH("Downmove", Price_Header,0))): INDIRECT(ADDRESS(ROW($O29),MATCH("Downmove", Price_Header,0)))))</f>
        <v>2.3571428571428639E-2</v>
      </c>
      <c r="R29" s="46">
        <f ca="1">IF(tbl_PLL[[#This Row],[Avg_Upmove]]="", "", tbl_PLL[[#This Row],[Avg_Upmove]]/tbl_PLL[[#This Row],[Avg_Downmove]])</f>
        <v>4.8787878787878656</v>
      </c>
      <c r="S29" s="10">
        <f ca="1">IF(ROW($N29)-4&lt;BB_Periods, "", _xlfn.STDEV.S(INDIRECT(ADDRESS(ROW($F29)-RSI_Periods +1, MATCH("Adj Close", Price_Header,0))): INDIRECT(ADDRESS(ROW($F29),MATCH("Adj Close", Price_Header,0)))))</f>
        <v>0.39106785336315475</v>
      </c>
    </row>
    <row r="30" spans="1:19" x14ac:dyDescent="0.35">
      <c r="A30" s="8">
        <v>44089</v>
      </c>
      <c r="B30" s="10">
        <v>7.26</v>
      </c>
      <c r="C30" s="10">
        <v>7.63</v>
      </c>
      <c r="D30" s="10">
        <v>7.15</v>
      </c>
      <c r="E30" s="10">
        <v>7.61</v>
      </c>
      <c r="F30" s="10">
        <v>7.61</v>
      </c>
      <c r="G30">
        <v>81900</v>
      </c>
      <c r="H30" s="10">
        <f>IF(tbl_PLL[[#This Row],[Date]]=$A$5, $F30, EMA_Beta*$H29 + (1-EMA_Beta)*$F30)</f>
        <v>6.5502208725383451</v>
      </c>
      <c r="I30" s="46">
        <f ca="1">IF(tbl_PLL[[#This Row],[RS]]= "", "", 100-(100/(1+tbl_PLL[[#This Row],[RS]])))</f>
        <v>84.931506849315042</v>
      </c>
      <c r="J30" s="10">
        <f ca="1">IF(ROW($N30)-4&lt;BB_Periods, "", AVERAGE(INDIRECT(ADDRESS(ROW($F30)-RSI_Periods +1, MATCH("Adj Close", Price_Header,0))): INDIRECT(ADDRESS(ROW($F30),MATCH("Adj Close", Price_Header,0)))))</f>
        <v>6.423571428571428</v>
      </c>
      <c r="K30" s="10">
        <f ca="1">IF(tbl_PLL[[#This Row],[BB_Mean]]="", "", tbl_PLL[[#This Row],[BB_Mean]]+(BB_Width*tbl_PLL[[#This Row],[BB_Stdev]]))</f>
        <v>7.453122701785067</v>
      </c>
      <c r="L30" s="10">
        <f ca="1">IF(tbl_PLL[[#This Row],[BB_Mean]]="", "", tbl_PLL[[#This Row],[BB_Mean]]-(BB_Width*tbl_PLL[[#This Row],[BB_Stdev]]))</f>
        <v>5.3940201553577891</v>
      </c>
      <c r="M30" s="46">
        <f>IF(ROW(tbl_PLL[[#This Row],[Adj Close]])=5, 0, $F30-$F29)</f>
        <v>0.35000000000000053</v>
      </c>
      <c r="N30" s="46">
        <f>MAX(tbl_PLL[[#This Row],[Move]],0)</f>
        <v>0.35000000000000053</v>
      </c>
      <c r="O30" s="46">
        <f>MAX(-tbl_PLL[[#This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0.13285714285714295</v>
      </c>
      <c r="Q30" s="46">
        <f ca="1">IF(ROW($O30)-5&lt;RSI_Periods, "", AVERAGE(INDIRECT(ADDRESS(ROW($O30)-RSI_Periods +1, MATCH("Downmove", Price_Header,0))): INDIRECT(ADDRESS(ROW($O30),MATCH("Downmove", Price_Header,0)))))</f>
        <v>2.3571428571428639E-2</v>
      </c>
      <c r="R30" s="46">
        <f ca="1">IF(tbl_PLL[[#This Row],[Avg_Upmove]]="", "", tbl_PLL[[#This Row],[Avg_Upmove]]/tbl_PLL[[#This Row],[Avg_Downmove]])</f>
        <v>5.6363636363636243</v>
      </c>
      <c r="S30" s="10">
        <f ca="1">IF(ROW($N30)-4&lt;BB_Periods, "", _xlfn.STDEV.S(INDIRECT(ADDRESS(ROW($F30)-RSI_Periods +1, MATCH("Adj Close", Price_Header,0))): INDIRECT(ADDRESS(ROW($F30),MATCH("Adj Close", Price_Header,0)))))</f>
        <v>0.51477563660681935</v>
      </c>
    </row>
    <row r="31" spans="1:19" x14ac:dyDescent="0.35">
      <c r="A31" s="8">
        <v>44090</v>
      </c>
      <c r="B31" s="10">
        <v>8</v>
      </c>
      <c r="C31" s="10">
        <v>8.4700000000000006</v>
      </c>
      <c r="D31" s="10">
        <v>7.92</v>
      </c>
      <c r="E31" s="10">
        <v>8.3000000000000007</v>
      </c>
      <c r="F31" s="10">
        <v>8.3000000000000007</v>
      </c>
      <c r="G31">
        <v>152500</v>
      </c>
      <c r="H31" s="10">
        <f>IF(tbl_PLL[[#This Row],[Date]]=$A$5, $F31, EMA_Beta*$H30 + (1-EMA_Beta)*$F31)</f>
        <v>6.725198785284511</v>
      </c>
      <c r="I31" s="46">
        <f ca="1">IF(tbl_PLL[[#This Row],[RS]]= "", "", 100-(100/(1+tbl_PLL[[#This Row],[RS]])))</f>
        <v>88.2562277580071</v>
      </c>
      <c r="J31" s="10">
        <f ca="1">IF(ROW($N31)-4&lt;BB_Periods, "", AVERAGE(INDIRECT(ADDRESS(ROW($F31)-RSI_Periods +1, MATCH("Adj Close", Price_Header,0))): INDIRECT(ADDRESS(ROW($F31),MATCH("Adj Close", Price_Header,0)))))</f>
        <v>6.5771428571428574</v>
      </c>
      <c r="K31" s="10">
        <f ca="1">IF(tbl_PLL[[#This Row],[BB_Mean]]="", "", tbl_PLL[[#This Row],[BB_Mean]]+(BB_Width*tbl_PLL[[#This Row],[BB_Stdev]]))</f>
        <v>7.9979644736500255</v>
      </c>
      <c r="L31" s="10">
        <f ca="1">IF(tbl_PLL[[#This Row],[BB_Mean]]="", "", tbl_PLL[[#This Row],[BB_Mean]]-(BB_Width*tbl_PLL[[#This Row],[BB_Stdev]]))</f>
        <v>5.1563212406356893</v>
      </c>
      <c r="M31" s="46">
        <f>IF(ROW(tbl_PLL[[#This Row],[Adj Close]])=5, 0, $F31-$F30)</f>
        <v>0.69000000000000039</v>
      </c>
      <c r="N31" s="46">
        <f>MAX(tbl_PLL[[#This Row],[Move]],0)</f>
        <v>0.69000000000000039</v>
      </c>
      <c r="O31" s="46">
        <f>MAX(-tbl_PLL[[#This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0.17714285714285724</v>
      </c>
      <c r="Q31" s="46">
        <f ca="1">IF(ROW($O31)-5&lt;RSI_Periods, "", AVERAGE(INDIRECT(ADDRESS(ROW($O31)-RSI_Periods +1, MATCH("Downmove", Price_Header,0))): INDIRECT(ADDRESS(ROW($O31),MATCH("Downmove", Price_Header,0)))))</f>
        <v>2.3571428571428639E-2</v>
      </c>
      <c r="R31" s="46">
        <f ca="1">IF(tbl_PLL[[#This Row],[Avg_Upmove]]="", "", tbl_PLL[[#This Row],[Avg_Upmove]]/tbl_PLL[[#This Row],[Avg_Downmove]])</f>
        <v>7.5151515151514978</v>
      </c>
      <c r="S31" s="10">
        <f ca="1">IF(ROW($N31)-4&lt;BB_Periods, "", _xlfn.STDEV.S(INDIRECT(ADDRESS(ROW($F31)-RSI_Periods +1, MATCH("Adj Close", Price_Header,0))): INDIRECT(ADDRESS(ROW($F31),MATCH("Adj Close", Price_Header,0)))))</f>
        <v>0.71041080825358383</v>
      </c>
    </row>
    <row r="32" spans="1:19" x14ac:dyDescent="0.35">
      <c r="A32" s="8">
        <v>44091</v>
      </c>
      <c r="B32" s="10">
        <v>8.7899999999999991</v>
      </c>
      <c r="C32" s="10">
        <v>11.7</v>
      </c>
      <c r="D32" s="10">
        <v>8.5500000000000007</v>
      </c>
      <c r="E32" s="10">
        <v>11</v>
      </c>
      <c r="F32" s="10">
        <v>11</v>
      </c>
      <c r="G32">
        <v>1003400</v>
      </c>
      <c r="H32" s="10">
        <f>IF(tbl_PLL[[#This Row],[Date]]=$A$5, $F32, EMA_Beta*$H31 + (1-EMA_Beta)*$F32)</f>
        <v>7.1526789067560594</v>
      </c>
      <c r="I32" s="46">
        <f ca="1">IF(tbl_PLL[[#This Row],[RS]]= "", "", 100-(100/(1+tbl_PLL[[#This Row],[RS]])))</f>
        <v>93.967093235831797</v>
      </c>
      <c r="J32" s="10">
        <f ca="1">IF(ROW($N32)-4&lt;BB_Periods, "", AVERAGE(INDIRECT(ADDRESS(ROW($F32)-RSI_Periods +1, MATCH("Adj Close", Price_Header,0))): INDIRECT(ADDRESS(ROW($F32),MATCH("Adj Close", Price_Header,0)))))</f>
        <v>6.9207142857142854</v>
      </c>
      <c r="K32" s="10">
        <f ca="1">IF(tbl_PLL[[#This Row],[BB_Mean]]="", "", tbl_PLL[[#This Row],[BB_Mean]]+(BB_Width*tbl_PLL[[#This Row],[BB_Stdev]]))</f>
        <v>9.6562408336581171</v>
      </c>
      <c r="L32" s="10">
        <f ca="1">IF(tbl_PLL[[#This Row],[BB_Mean]]="", "", tbl_PLL[[#This Row],[BB_Mean]]-(BB_Width*tbl_PLL[[#This Row],[BB_Stdev]]))</f>
        <v>4.1851877377704536</v>
      </c>
      <c r="M32" s="46">
        <f>IF(ROW(tbl_PLL[[#This Row],[Adj Close]])=5, 0, $F32-$F31)</f>
        <v>2.6999999999999993</v>
      </c>
      <c r="N32" s="46">
        <f>MAX(tbl_PLL[[#This Row],[Move]],0)</f>
        <v>2.6999999999999993</v>
      </c>
      <c r="O32" s="46">
        <f>MAX(-tbl_PLL[[#This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0.36714285714285716</v>
      </c>
      <c r="Q32" s="46">
        <f ca="1">IF(ROW($O32)-5&lt;RSI_Periods, "", AVERAGE(INDIRECT(ADDRESS(ROW($O32)-RSI_Periods +1, MATCH("Downmove", Price_Header,0))): INDIRECT(ADDRESS(ROW($O32),MATCH("Downmove", Price_Header,0)))))</f>
        <v>2.3571428571428639E-2</v>
      </c>
      <c r="R32" s="46">
        <f ca="1">IF(tbl_PLL[[#This Row],[Avg_Upmove]]="", "", tbl_PLL[[#This Row],[Avg_Upmove]]/tbl_PLL[[#This Row],[Avg_Downmove]])</f>
        <v>15.575757575757532</v>
      </c>
      <c r="S32" s="10">
        <f ca="1">IF(ROW($N32)-4&lt;BB_Periods, "", _xlfn.STDEV.S(INDIRECT(ADDRESS(ROW($F32)-RSI_Periods +1, MATCH("Adj Close", Price_Header,0))): INDIRECT(ADDRESS(ROW($F32),MATCH("Adj Close", Price_Header,0)))))</f>
        <v>1.3677632739719159</v>
      </c>
    </row>
    <row r="33" spans="1:19" x14ac:dyDescent="0.35">
      <c r="A33" s="8">
        <v>44092</v>
      </c>
      <c r="B33" s="10">
        <v>11</v>
      </c>
      <c r="C33" s="10">
        <v>11</v>
      </c>
      <c r="D33" s="10">
        <v>11</v>
      </c>
      <c r="E33" s="10">
        <v>11</v>
      </c>
      <c r="F33" s="10">
        <v>11</v>
      </c>
      <c r="G33" t="s">
        <v>96</v>
      </c>
      <c r="H33" s="10">
        <f>IF(tbl_PLL[[#This Row],[Date]]=$A$5, $F33, EMA_Beta*$H32 + (1-EMA_Beta)*$F33)</f>
        <v>7.5374110160804531</v>
      </c>
      <c r="I33" s="46">
        <f ca="1">IF(tbl_PLL[[#This Row],[RS]]= "", "", 100-(100/(1+tbl_PLL[[#This Row],[RS]])))</f>
        <v>96.435272045028142</v>
      </c>
      <c r="J33" s="10">
        <f ca="1">IF(ROW($N33)-4&lt;BB_Periods, "", AVERAGE(INDIRECT(ADDRESS(ROW($F33)-RSI_Periods +1, MATCH("Adj Close", Price_Header,0))): INDIRECT(ADDRESS(ROW($F33),MATCH("Adj Close", Price_Header,0)))))</f>
        <v>7.2742857142857131</v>
      </c>
      <c r="K33" s="10">
        <f ca="1">IF(tbl_PLL[[#This Row],[BB_Mean]]="", "", tbl_PLL[[#This Row],[BB_Mean]]+(BB_Width*tbl_PLL[[#This Row],[BB_Stdev]]))</f>
        <v>10.713979030540838</v>
      </c>
      <c r="L33" s="10">
        <f ca="1">IF(tbl_PLL[[#This Row],[BB_Mean]]="", "", tbl_PLL[[#This Row],[BB_Mean]]-(BB_Width*tbl_PLL[[#This Row],[BB_Stdev]]))</f>
        <v>3.8345923980305878</v>
      </c>
      <c r="M33" s="46">
        <f>IF(ROW(tbl_PLL[[#This Row],[Adj Close]])=5, 0, $F33-$F32)</f>
        <v>0</v>
      </c>
      <c r="N33" s="46">
        <f>MAX(tbl_PLL[[#This Row],[Move]],0)</f>
        <v>0</v>
      </c>
      <c r="O33" s="46">
        <f>MAX(-tbl_PLL[[#This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0.36714285714285716</v>
      </c>
      <c r="Q33" s="46">
        <f ca="1">IF(ROW($O33)-5&lt;RSI_Periods, "", AVERAGE(INDIRECT(ADDRESS(ROW($O33)-RSI_Periods +1, MATCH("Downmove", Price_Header,0))): INDIRECT(ADDRESS(ROW($O33),MATCH("Downmove", Price_Header,0)))))</f>
        <v>1.3571428571428599E-2</v>
      </c>
      <c r="R33" s="46">
        <f ca="1">IF(tbl_PLL[[#This Row],[Avg_Upmove]]="", "", tbl_PLL[[#This Row],[Avg_Upmove]]/tbl_PLL[[#This Row],[Avg_Downmove]])</f>
        <v>27.052631578947317</v>
      </c>
      <c r="S33" s="10">
        <f ca="1">IF(ROW($N33)-4&lt;BB_Periods, "", _xlfn.STDEV.S(INDIRECT(ADDRESS(ROW($F33)-RSI_Periods +1, MATCH("Adj Close", Price_Header,0))): INDIRECT(ADDRESS(ROW($F33),MATCH("Adj Close", Price_Header,0)))))</f>
        <v>1.7198466581275627</v>
      </c>
    </row>
    <row r="34" spans="1:19" x14ac:dyDescent="0.35">
      <c r="A34" s="8">
        <v>44095</v>
      </c>
      <c r="B34" s="10">
        <v>11</v>
      </c>
      <c r="C34" s="10">
        <v>11</v>
      </c>
      <c r="D34" s="10">
        <v>11</v>
      </c>
      <c r="E34" s="10">
        <v>11</v>
      </c>
      <c r="F34" s="10">
        <v>11</v>
      </c>
      <c r="G34" t="s">
        <v>96</v>
      </c>
      <c r="H34" s="10">
        <f>IF(tbl_PLL[[#This Row],[Date]]=$A$5, $F34, EMA_Beta*$H33 + (1-EMA_Beta)*$F34)</f>
        <v>7.8836699144724074</v>
      </c>
      <c r="I34" s="46">
        <f ca="1">IF(tbl_PLL[[#This Row],[RS]]= "", "", 100-(100/(1+tbl_PLL[[#This Row],[RS]])))</f>
        <v>96.428571428571416</v>
      </c>
      <c r="J34" s="10">
        <f ca="1">IF(ROW($N34)-4&lt;BB_Periods, "", AVERAGE(INDIRECT(ADDRESS(ROW($F34)-RSI_Periods +1, MATCH("Adj Close", Price_Header,0))): INDIRECT(ADDRESS(ROW($F34),MATCH("Adj Close", Price_Header,0)))))</f>
        <v>7.6271428571428572</v>
      </c>
      <c r="K34" s="10">
        <f ca="1">IF(tbl_PLL[[#This Row],[BB_Mean]]="", "", tbl_PLL[[#This Row],[BB_Mean]]+(BB_Width*tbl_PLL[[#This Row],[BB_Stdev]]))</f>
        <v>11.514625163381522</v>
      </c>
      <c r="L34" s="10">
        <f ca="1">IF(tbl_PLL[[#This Row],[BB_Mean]]="", "", tbl_PLL[[#This Row],[BB_Mean]]-(BB_Width*tbl_PLL[[#This Row],[BB_Stdev]]))</f>
        <v>3.7396605509041918</v>
      </c>
      <c r="M34" s="46">
        <f>IF(ROW(tbl_PLL[[#This Row],[Adj Close]])=5, 0, $F34-$F33)</f>
        <v>0</v>
      </c>
      <c r="N34" s="46">
        <f>MAX(tbl_PLL[[#This Row],[Move]],0)</f>
        <v>0</v>
      </c>
      <c r="O34" s="46">
        <f>MAX(-tbl_PLL[[#This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0.36642857142857149</v>
      </c>
      <c r="Q34" s="46">
        <f ca="1">IF(ROW($O34)-5&lt;RSI_Periods, "", AVERAGE(INDIRECT(ADDRESS(ROW($O34)-RSI_Periods +1, MATCH("Downmove", Price_Header,0))): INDIRECT(ADDRESS(ROW($O34),MATCH("Downmove", Price_Header,0)))))</f>
        <v>1.3571428571428599E-2</v>
      </c>
      <c r="R34" s="46">
        <f ca="1">IF(tbl_PLL[[#This Row],[Avg_Upmove]]="", "", tbl_PLL[[#This Row],[Avg_Upmove]]/tbl_PLL[[#This Row],[Avg_Downmove]])</f>
        <v>26.99999999999995</v>
      </c>
      <c r="S34" s="10">
        <f ca="1">IF(ROW($N34)-4&lt;BB_Periods, "", _xlfn.STDEV.S(INDIRECT(ADDRESS(ROW($F34)-RSI_Periods +1, MATCH("Adj Close", Price_Header,0))): INDIRECT(ADDRESS(ROW($F34),MATCH("Adj Close", Price_Header,0)))))</f>
        <v>1.9437411531193327</v>
      </c>
    </row>
    <row r="35" spans="1:19" x14ac:dyDescent="0.35">
      <c r="A35" s="8">
        <v>44096</v>
      </c>
      <c r="B35" s="10">
        <v>11</v>
      </c>
      <c r="C35" s="10">
        <v>11</v>
      </c>
      <c r="D35" s="10">
        <v>11</v>
      </c>
      <c r="E35" s="10">
        <v>11</v>
      </c>
      <c r="F35" s="10">
        <v>11</v>
      </c>
      <c r="G35" t="s">
        <v>96</v>
      </c>
      <c r="H35" s="10">
        <f>IF(tbl_PLL[[#This Row],[Date]]=$A$5, $F35, EMA_Beta*$H34 + (1-EMA_Beta)*$F35)</f>
        <v>8.1953029230251673</v>
      </c>
      <c r="I35" s="46">
        <f ca="1">IF(tbl_PLL[[#This Row],[RS]]= "", "", 100-(100/(1+tbl_PLL[[#This Row],[RS]])))</f>
        <v>96.401515151515142</v>
      </c>
      <c r="J35" s="10">
        <f ca="1">IF(ROW($N35)-4&lt;BB_Periods, "", AVERAGE(INDIRECT(ADDRESS(ROW($F35)-RSI_Periods +1, MATCH("Adj Close", Price_Header,0))): INDIRECT(ADDRESS(ROW($F35),MATCH("Adj Close", Price_Header,0)))))</f>
        <v>7.9771428571428569</v>
      </c>
      <c r="K35" s="10">
        <f ca="1">IF(tbl_PLL[[#This Row],[BB_Mean]]="", "", tbl_PLL[[#This Row],[BB_Mean]]+(BB_Width*tbl_PLL[[#This Row],[BB_Stdev]]))</f>
        <v>12.144587590357169</v>
      </c>
      <c r="L35" s="10">
        <f ca="1">IF(tbl_PLL[[#This Row],[BB_Mean]]="", "", tbl_PLL[[#This Row],[BB_Mean]]-(BB_Width*tbl_PLL[[#This Row],[BB_Stdev]]))</f>
        <v>3.8096981239285457</v>
      </c>
      <c r="M35" s="46">
        <f>IF(ROW(tbl_PLL[[#This Row],[Adj Close]])=5, 0, $F35-$F34)</f>
        <v>0</v>
      </c>
      <c r="N35" s="46">
        <f>MAX(tbl_PLL[[#This Row],[Move]],0)</f>
        <v>0</v>
      </c>
      <c r="O35" s="46">
        <f>MAX(-tbl_PLL[[#This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0.3635714285714286</v>
      </c>
      <c r="Q35" s="46">
        <f ca="1">IF(ROW($O35)-5&lt;RSI_Periods, "", AVERAGE(INDIRECT(ADDRESS(ROW($O35)-RSI_Periods +1, MATCH("Downmove", Price_Header,0))): INDIRECT(ADDRESS(ROW($O35),MATCH("Downmove", Price_Header,0)))))</f>
        <v>1.3571428571428599E-2</v>
      </c>
      <c r="R35" s="46">
        <f ca="1">IF(tbl_PLL[[#This Row],[Avg_Upmove]]="", "", tbl_PLL[[#This Row],[Avg_Upmove]]/tbl_PLL[[#This Row],[Avg_Downmove]])</f>
        <v>26.789473684210474</v>
      </c>
      <c r="S35" s="10">
        <f ca="1">IF(ROW($N35)-4&lt;BB_Periods, "", _xlfn.STDEV.S(INDIRECT(ADDRESS(ROW($F35)-RSI_Periods +1, MATCH("Adj Close", Price_Header,0))): INDIRECT(ADDRESS(ROW($F35),MATCH("Adj Close", Price_Header,0)))))</f>
        <v>2.0837223666071556</v>
      </c>
    </row>
    <row r="36" spans="1:19" x14ac:dyDescent="0.35">
      <c r="A36" s="8">
        <v>44097</v>
      </c>
      <c r="B36" s="10">
        <v>11</v>
      </c>
      <c r="C36" s="10">
        <v>11</v>
      </c>
      <c r="D36" s="10">
        <v>11</v>
      </c>
      <c r="E36" s="10">
        <v>11</v>
      </c>
      <c r="F36" s="10">
        <v>11</v>
      </c>
      <c r="G36" t="s">
        <v>96</v>
      </c>
      <c r="H36" s="10">
        <f>IF(tbl_PLL[[#This Row],[Date]]=$A$5, $F36, EMA_Beta*$H35 + (1-EMA_Beta)*$F36)</f>
        <v>8.4757726307226502</v>
      </c>
      <c r="I36" s="46">
        <f ca="1">IF(tbl_PLL[[#This Row],[RS]]= "", "", 100-(100/(1+tbl_PLL[[#This Row],[RS]])))</f>
        <v>96.332046332046332</v>
      </c>
      <c r="J36" s="10">
        <f ca="1">IF(ROW($N36)-4&lt;BB_Periods, "", AVERAGE(INDIRECT(ADDRESS(ROW($F36)-RSI_Periods +1, MATCH("Adj Close", Price_Header,0))): INDIRECT(ADDRESS(ROW($F36),MATCH("Adj Close", Price_Header,0)))))</f>
        <v>8.3199999999999985</v>
      </c>
      <c r="K36" s="10">
        <f ca="1">IF(tbl_PLL[[#This Row],[BB_Mean]]="", "", tbl_PLL[[#This Row],[BB_Mean]]+(BB_Width*tbl_PLL[[#This Row],[BB_Stdev]]))</f>
        <v>12.644470621225935</v>
      </c>
      <c r="L36" s="10">
        <f ca="1">IF(tbl_PLL[[#This Row],[BB_Mean]]="", "", tbl_PLL[[#This Row],[BB_Mean]]-(BB_Width*tbl_PLL[[#This Row],[BB_Stdev]]))</f>
        <v>3.9955293787740622</v>
      </c>
      <c r="M36" s="46">
        <f>IF(ROW(tbl_PLL[[#This Row],[Adj Close]])=5, 0, $F36-$F35)</f>
        <v>0</v>
      </c>
      <c r="N36" s="46">
        <f>MAX(tbl_PLL[[#This Row],[Move]],0)</f>
        <v>0</v>
      </c>
      <c r="O36" s="46">
        <f>MAX(-tbl_PLL[[#This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0.35642857142857143</v>
      </c>
      <c r="Q36" s="46">
        <f ca="1">IF(ROW($O36)-5&lt;RSI_Periods, "", AVERAGE(INDIRECT(ADDRESS(ROW($O36)-RSI_Periods +1, MATCH("Downmove", Price_Header,0))): INDIRECT(ADDRESS(ROW($O36),MATCH("Downmove", Price_Header,0)))))</f>
        <v>1.3571428571428599E-2</v>
      </c>
      <c r="R36" s="46">
        <f ca="1">IF(tbl_PLL[[#This Row],[Avg_Upmove]]="", "", tbl_PLL[[#This Row],[Avg_Upmove]]/tbl_PLL[[#This Row],[Avg_Downmove]])</f>
        <v>26.263157894736789</v>
      </c>
      <c r="S36" s="10">
        <f ca="1">IF(ROW($N36)-4&lt;BB_Periods, "", _xlfn.STDEV.S(INDIRECT(ADDRESS(ROW($F36)-RSI_Periods +1, MATCH("Adj Close", Price_Header,0))): INDIRECT(ADDRESS(ROW($F36),MATCH("Adj Close", Price_Header,0)))))</f>
        <v>2.1622353106129681</v>
      </c>
    </row>
    <row r="37" spans="1:19" x14ac:dyDescent="0.35">
      <c r="A37" s="8">
        <v>44098</v>
      </c>
      <c r="B37" s="10">
        <v>11</v>
      </c>
      <c r="C37" s="10">
        <v>11</v>
      </c>
      <c r="D37" s="10">
        <v>11</v>
      </c>
      <c r="E37" s="10">
        <v>11</v>
      </c>
      <c r="F37" s="10">
        <v>11</v>
      </c>
      <c r="G37" t="s">
        <v>96</v>
      </c>
      <c r="H37" s="10">
        <f>IF(tbl_PLL[[#This Row],[Date]]=$A$5, $F37, EMA_Beta*$H36 + (1-EMA_Beta)*$F37)</f>
        <v>8.7281953676503861</v>
      </c>
      <c r="I37" s="46">
        <f ca="1">IF(tbl_PLL[[#This Row],[RS]]= "", "", 100-(100/(1+tbl_PLL[[#This Row],[RS]])))</f>
        <v>96.518375241779481</v>
      </c>
      <c r="J37" s="10">
        <f ca="1">IF(ROW($N37)-4&lt;BB_Periods, "", AVERAGE(INDIRECT(ADDRESS(ROW($F37)-RSI_Periods +1, MATCH("Adj Close", Price_Header,0))): INDIRECT(ADDRESS(ROW($F37),MATCH("Adj Close", Price_Header,0)))))</f>
        <v>8.6635714285714283</v>
      </c>
      <c r="K37" s="10">
        <f ca="1">IF(tbl_PLL[[#This Row],[BB_Mean]]="", "", tbl_PLL[[#This Row],[BB_Mean]]+(BB_Width*tbl_PLL[[#This Row],[BB_Stdev]]))</f>
        <v>13.023222841191535</v>
      </c>
      <c r="L37" s="10">
        <f ca="1">IF(tbl_PLL[[#This Row],[BB_Mean]]="", "", tbl_PLL[[#This Row],[BB_Mean]]-(BB_Width*tbl_PLL[[#This Row],[BB_Stdev]]))</f>
        <v>4.3039200159513218</v>
      </c>
      <c r="M37" s="46">
        <f>IF(ROW(tbl_PLL[[#This Row],[Adj Close]])=5, 0, $F37-$F36)</f>
        <v>0</v>
      </c>
      <c r="N37" s="46">
        <f>MAX(tbl_PLL[[#This Row],[Move]],0)</f>
        <v>0</v>
      </c>
      <c r="O37" s="46">
        <f>MAX(-tbl_PLL[[#This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0.35642857142857143</v>
      </c>
      <c r="Q37" s="46">
        <f ca="1">IF(ROW($O37)-5&lt;RSI_Periods, "", AVERAGE(INDIRECT(ADDRESS(ROW($O37)-RSI_Periods +1, MATCH("Downmove", Price_Header,0))): INDIRECT(ADDRESS(ROW($O37),MATCH("Downmove", Price_Header,0)))))</f>
        <v>1.28571428571429E-2</v>
      </c>
      <c r="R37" s="46">
        <f ca="1">IF(tbl_PLL[[#This Row],[Avg_Upmove]]="", "", tbl_PLL[[#This Row],[Avg_Upmove]]/tbl_PLL[[#This Row],[Avg_Downmove]])</f>
        <v>27.722222222222129</v>
      </c>
      <c r="S37" s="10">
        <f ca="1">IF(ROW($N37)-4&lt;BB_Periods, "", _xlfn.STDEV.S(INDIRECT(ADDRESS(ROW($F37)-RSI_Periods +1, MATCH("Adj Close", Price_Header,0))): INDIRECT(ADDRESS(ROW($F37),MATCH("Adj Close", Price_Header,0)))))</f>
        <v>2.1798257063100532</v>
      </c>
    </row>
    <row r="38" spans="1:19" x14ac:dyDescent="0.35">
      <c r="A38" s="8">
        <v>44099</v>
      </c>
      <c r="B38" s="10">
        <v>11</v>
      </c>
      <c r="C38" s="10">
        <v>11</v>
      </c>
      <c r="D38" s="10">
        <v>11</v>
      </c>
      <c r="E38" s="10">
        <v>11</v>
      </c>
      <c r="F38" s="10">
        <v>11</v>
      </c>
      <c r="G38" t="s">
        <v>96</v>
      </c>
      <c r="H38" s="10">
        <f>IF(tbl_PLL[[#This Row],[Date]]=$A$5, $F38, EMA_Beta*$H37 + (1-EMA_Beta)*$F38)</f>
        <v>8.9553758308853482</v>
      </c>
      <c r="I38" s="46">
        <f ca="1">IF(tbl_PLL[[#This Row],[RS]]= "", "", 100-(100/(1+tbl_PLL[[#This Row],[RS]])))</f>
        <v>99.007936507936506</v>
      </c>
      <c r="J38" s="10">
        <f ca="1">IF(ROW($N38)-4&lt;BB_Periods, "", AVERAGE(INDIRECT(ADDRESS(ROW($F38)-RSI_Periods +1, MATCH("Adj Close", Price_Header,0))): INDIRECT(ADDRESS(ROW($F38),MATCH("Adj Close", Price_Header,0)))))</f>
        <v>9.0164285714285715</v>
      </c>
      <c r="K38" s="10">
        <f ca="1">IF(tbl_PLL[[#This Row],[BB_Mean]]="", "", tbl_PLL[[#This Row],[BB_Mean]]+(BB_Width*tbl_PLL[[#This Row],[BB_Stdev]]))</f>
        <v>13.266623912770006</v>
      </c>
      <c r="L38" s="10">
        <f ca="1">IF(tbl_PLL[[#This Row],[BB_Mean]]="", "", tbl_PLL[[#This Row],[BB_Mean]]-(BB_Width*tbl_PLL[[#This Row],[BB_Stdev]]))</f>
        <v>4.7662332300871366</v>
      </c>
      <c r="M38" s="46">
        <f>IF(ROW(tbl_PLL[[#This Row],[Adj Close]])=5, 0, $F38-$F37)</f>
        <v>0</v>
      </c>
      <c r="N38" s="46">
        <f>MAX(tbl_PLL[[#This Row],[Move]],0)</f>
        <v>0</v>
      </c>
      <c r="O38" s="46">
        <f>MAX(-tbl_PLL[[#This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0.35642857142857143</v>
      </c>
      <c r="Q38" s="46">
        <f ca="1">IF(ROW($O38)-5&lt;RSI_Periods, "", AVERAGE(INDIRECT(ADDRESS(ROW($O38)-RSI_Periods +1, MATCH("Downmove", Price_Header,0))): INDIRECT(ADDRESS(ROW($O38),MATCH("Downmove", Price_Header,0)))))</f>
        <v>3.5714285714285587E-3</v>
      </c>
      <c r="R38" s="46">
        <f ca="1">IF(tbl_PLL[[#This Row],[Avg_Upmove]]="", "", tbl_PLL[[#This Row],[Avg_Upmove]]/tbl_PLL[[#This Row],[Avg_Downmove]])</f>
        <v>99.800000000000352</v>
      </c>
      <c r="S38" s="10">
        <f ca="1">IF(ROW($N38)-4&lt;BB_Periods, "", _xlfn.STDEV.S(INDIRECT(ADDRESS(ROW($F38)-RSI_Periods +1, MATCH("Adj Close", Price_Header,0))): INDIRECT(ADDRESS(ROW($F38),MATCH("Adj Close", Price_Header,0)))))</f>
        <v>2.1250976706707174</v>
      </c>
    </row>
    <row r="39" spans="1:19" x14ac:dyDescent="0.35">
      <c r="A39" s="8">
        <v>44102</v>
      </c>
      <c r="B39" s="10">
        <v>36.979999999999997</v>
      </c>
      <c r="C39" s="10">
        <v>54.5</v>
      </c>
      <c r="D39" s="10">
        <v>26.8</v>
      </c>
      <c r="E39" s="10">
        <v>37</v>
      </c>
      <c r="F39" s="10">
        <v>37</v>
      </c>
      <c r="G39">
        <v>49382500</v>
      </c>
      <c r="H39" s="10">
        <f>IF(tbl_PLL[[#This Row],[Date]]=$A$5, $F39, EMA_Beta*$H38 + (1-EMA_Beta)*$F39)</f>
        <v>11.759838247796813</v>
      </c>
      <c r="I39" s="46" t="e">
        <f ca="1">IF(tbl_PLL[[#This Row],[RS]]= "", "", 100-(100/(1+tbl_PLL[[#This Row],[RS]])))</f>
        <v>#DIV/0!</v>
      </c>
      <c r="J39" s="10">
        <f ca="1">IF(ROW($N39)-4&lt;BB_Periods, "", AVERAGE(INDIRECT(ADDRESS(ROW($F39)-RSI_Periods +1, MATCH("Adj Close", Price_Header,0))): INDIRECT(ADDRESS(ROW($F39),MATCH("Adj Close", Price_Header,0)))))</f>
        <v>11.23</v>
      </c>
      <c r="K39" s="10">
        <f ca="1">IF(tbl_PLL[[#This Row],[BB_Mean]]="", "", tbl_PLL[[#This Row],[BB_Mean]]+(BB_Width*tbl_PLL[[#This Row],[BB_Stdev]]))</f>
        <v>26.563739570984282</v>
      </c>
      <c r="L39" s="10">
        <f ca="1">IF(tbl_PLL[[#This Row],[BB_Mean]]="", "", tbl_PLL[[#This Row],[BB_Mean]]-(BB_Width*tbl_PLL[[#This Row],[BB_Stdev]]))</f>
        <v>-4.1037395709842794</v>
      </c>
      <c r="M39" s="46">
        <f>IF(ROW(tbl_PLL[[#This Row],[Adj Close]])=5, 0, $F39-$F38)</f>
        <v>26</v>
      </c>
      <c r="N39" s="46">
        <f>MAX(tbl_PLL[[#This Row],[Move]],0)</f>
        <v>26</v>
      </c>
      <c r="O39" s="46">
        <f>MAX(-tbl_PLL[[#This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2.2135714285714285</v>
      </c>
      <c r="Q39" s="46">
        <f ca="1">IF(ROW($O39)-5&lt;RSI_Periods, "", AVERAGE(INDIRECT(ADDRESS(ROW($O39)-RSI_Periods +1, MATCH("Downmove", Price_Header,0))): INDIRECT(ADDRESS(ROW($O39),MATCH("Downmove", Price_Header,0)))))</f>
        <v>0</v>
      </c>
      <c r="R39" s="46" t="e">
        <f ca="1">IF(tbl_PLL[[#This Row],[Avg_Upmove]]="", "", tbl_PLL[[#This Row],[Avg_Upmove]]/tbl_PLL[[#This Row],[Avg_Downmove]])</f>
        <v>#DIV/0!</v>
      </c>
      <c r="S39" s="10">
        <f ca="1">IF(ROW($N39)-4&lt;BB_Periods, "", _xlfn.STDEV.S(INDIRECT(ADDRESS(ROW($F39)-RSI_Periods +1, MATCH("Adj Close", Price_Header,0))): INDIRECT(ADDRESS(ROW($F39),MATCH("Adj Close", Price_Header,0)))))</f>
        <v>7.6668697854921399</v>
      </c>
    </row>
    <row r="40" spans="1:19" x14ac:dyDescent="0.35">
      <c r="A40" s="8">
        <v>44103</v>
      </c>
      <c r="B40" s="10">
        <v>31.25</v>
      </c>
      <c r="C40" s="10">
        <v>34.5</v>
      </c>
      <c r="D40" s="10">
        <v>25.35</v>
      </c>
      <c r="E40" s="10">
        <v>25.38</v>
      </c>
      <c r="F40" s="10">
        <v>25.38</v>
      </c>
      <c r="G40">
        <v>7991300</v>
      </c>
      <c r="H40" s="10">
        <f>IF(tbl_PLL[[#This Row],[Date]]=$A$5, $F40, EMA_Beta*$H39 + (1-EMA_Beta)*$F40)</f>
        <v>13.12185442301713</v>
      </c>
      <c r="I40" s="46">
        <f ca="1">IF(tbl_PLL[[#This Row],[RS]]= "", "", 100-(100/(1+tbl_PLL[[#This Row],[RS]])))</f>
        <v>72.477498815727145</v>
      </c>
      <c r="J40" s="10">
        <f ca="1">IF(ROW($N40)-4&lt;BB_Periods, "", AVERAGE(INDIRECT(ADDRESS(ROW($F40)-RSI_Periods +1, MATCH("Adj Close", Price_Header,0))): INDIRECT(ADDRESS(ROW($F40),MATCH("Adj Close", Price_Header,0)))))</f>
        <v>12.585714285714285</v>
      </c>
      <c r="K40" s="10">
        <f ca="1">IF(tbl_PLL[[#This Row],[BB_Mean]]="", "", tbl_PLL[[#This Row],[BB_Mean]]+(BB_Width*tbl_PLL[[#This Row],[BB_Stdev]]))</f>
        <v>29.367698608260824</v>
      </c>
      <c r="L40" s="10">
        <f ca="1">IF(tbl_PLL[[#This Row],[BB_Mean]]="", "", tbl_PLL[[#This Row],[BB_Mean]]-(BB_Width*tbl_PLL[[#This Row],[BB_Stdev]]))</f>
        <v>-4.196270036832253</v>
      </c>
      <c r="M40" s="46">
        <f>IF(ROW(tbl_PLL[[#This Row],[Adj Close]])=5, 0, $F40-$F39)</f>
        <v>-11.620000000000001</v>
      </c>
      <c r="N40" s="46">
        <f>MAX(tbl_PLL[[#This Row],[Move]],0)</f>
        <v>0</v>
      </c>
      <c r="O40" s="46">
        <f>MAX(-tbl_PLL[[#This Row],[Move]],0)</f>
        <v>11.620000000000001</v>
      </c>
      <c r="P40" s="46">
        <f ca="1">IF(ROW($N40)-5&lt;RSI_Periods, "", AVERAGE(INDIRECT(ADDRESS(ROW($N40)-RSI_Periods +1, MATCH("Upmove", Price_Header,0))): INDIRECT(ADDRESS(ROW($N40),MATCH("Upmove", Price_Header,0)))))</f>
        <v>2.1857142857142859</v>
      </c>
      <c r="Q40" s="46">
        <f ca="1">IF(ROW($O40)-5&lt;RSI_Periods, "", AVERAGE(INDIRECT(ADDRESS(ROW($O40)-RSI_Periods +1, MATCH("Downmove", Price_Header,0))): INDIRECT(ADDRESS(ROW($O40),MATCH("Downmove", Price_Header,0)))))</f>
        <v>0.83000000000000007</v>
      </c>
      <c r="R40" s="46">
        <f ca="1">IF(tbl_PLL[[#This Row],[Avg_Upmove]]="", "", tbl_PLL[[#This Row],[Avg_Upmove]]/tbl_PLL[[#This Row],[Avg_Downmove]])</f>
        <v>2.6333907056798624</v>
      </c>
      <c r="S40" s="10">
        <f ca="1">IF(ROW($N40)-4&lt;BB_Periods, "", _xlfn.STDEV.S(INDIRECT(ADDRESS(ROW($F40)-RSI_Periods +1, MATCH("Adj Close", Price_Header,0))): INDIRECT(ADDRESS(ROW($F40),MATCH("Adj Close", Price_Header,0)))))</f>
        <v>8.3909921612732692</v>
      </c>
    </row>
    <row r="41" spans="1:19" x14ac:dyDescent="0.35">
      <c r="A41" s="8">
        <v>44104</v>
      </c>
      <c r="B41" s="10">
        <v>23.36</v>
      </c>
      <c r="C41" s="10">
        <v>27.47</v>
      </c>
      <c r="D41" s="10">
        <v>22.22</v>
      </c>
      <c r="E41" s="10">
        <v>23.42</v>
      </c>
      <c r="F41" s="10">
        <v>23.42</v>
      </c>
      <c r="G41">
        <v>5696100</v>
      </c>
      <c r="H41" s="10">
        <f>IF(tbl_PLL[[#This Row],[Date]]=$A$5, $F41, EMA_Beta*$H40 + (1-EMA_Beta)*$F41)</f>
        <v>14.151668980715417</v>
      </c>
      <c r="I41" s="46">
        <f ca="1">IF(tbl_PLL[[#This Row],[RS]]= "", "", 100-(100/(1+tbl_PLL[[#This Row],[RS]])))</f>
        <v>69.122328331059578</v>
      </c>
      <c r="J41" s="10">
        <f ca="1">IF(ROW($N41)-4&lt;BB_Periods, "", AVERAGE(INDIRECT(ADDRESS(ROW($F41)-RSI_Periods +1, MATCH("Adj Close", Price_Header,0))): INDIRECT(ADDRESS(ROW($F41),MATCH("Adj Close", Price_Header,0)))))</f>
        <v>13.787142857142856</v>
      </c>
      <c r="K41" s="10">
        <f ca="1">IF(tbl_PLL[[#This Row],[BB_Mean]]="", "", tbl_PLL[[#This Row],[BB_Mean]]+(BB_Width*tbl_PLL[[#This Row],[BB_Stdev]]))</f>
        <v>31.122377635915399</v>
      </c>
      <c r="L41" s="10">
        <f ca="1">IF(tbl_PLL[[#This Row],[BB_Mean]]="", "", tbl_PLL[[#This Row],[BB_Mean]]-(BB_Width*tbl_PLL[[#This Row],[BB_Stdev]]))</f>
        <v>-3.5480919216296858</v>
      </c>
      <c r="M41" s="46">
        <f>IF(ROW(tbl_PLL[[#This Row],[Adj Close]])=5, 0, $F41-$F40)</f>
        <v>-1.9599999999999973</v>
      </c>
      <c r="N41" s="46">
        <f>MAX(tbl_PLL[[#This Row],[Move]],0)</f>
        <v>0</v>
      </c>
      <c r="O41" s="46">
        <f>MAX(-tbl_PLL[[#This Row],[Move]],0)</f>
        <v>1.9599999999999973</v>
      </c>
      <c r="P41" s="46">
        <f ca="1">IF(ROW($N41)-5&lt;RSI_Periods, "", AVERAGE(INDIRECT(ADDRESS(ROW($N41)-RSI_Periods +1, MATCH("Upmove", Price_Header,0))): INDIRECT(ADDRESS(ROW($N41),MATCH("Upmove", Price_Header,0)))))</f>
        <v>2.1714285714285713</v>
      </c>
      <c r="Q41" s="46">
        <f ca="1">IF(ROW($O41)-5&lt;RSI_Periods, "", AVERAGE(INDIRECT(ADDRESS(ROW($O41)-RSI_Periods +1, MATCH("Downmove", Price_Header,0))): INDIRECT(ADDRESS(ROW($O41),MATCH("Downmove", Price_Header,0)))))</f>
        <v>0.96999999999999986</v>
      </c>
      <c r="R41" s="46">
        <f ca="1">IF(tbl_PLL[[#This Row],[Avg_Upmove]]="", "", tbl_PLL[[#This Row],[Avg_Upmove]]/tbl_PLL[[#This Row],[Avg_Downmove]])</f>
        <v>2.2385861561119293</v>
      </c>
      <c r="S41" s="10">
        <f ca="1">IF(ROW($N41)-4&lt;BB_Periods, "", _xlfn.STDEV.S(INDIRECT(ADDRESS(ROW($F41)-RSI_Periods +1, MATCH("Adj Close", Price_Header,0))): INDIRECT(ADDRESS(ROW($F41),MATCH("Adj Close", Price_Header,0)))))</f>
        <v>8.6676173893862707</v>
      </c>
    </row>
    <row r="42" spans="1:19" x14ac:dyDescent="0.35">
      <c r="A42" s="8">
        <v>44105</v>
      </c>
      <c r="B42" s="10">
        <v>26.3</v>
      </c>
      <c r="C42" s="10">
        <v>27.5</v>
      </c>
      <c r="D42" s="10">
        <v>25.21</v>
      </c>
      <c r="E42" s="10">
        <v>25.31</v>
      </c>
      <c r="F42" s="10">
        <v>25.31</v>
      </c>
      <c r="G42">
        <v>2773300</v>
      </c>
      <c r="H42" s="10">
        <f>IF(tbl_PLL[[#This Row],[Date]]=$A$5, $F42, EMA_Beta*$H41 + (1-EMA_Beta)*$F42)</f>
        <v>15.267502082643874</v>
      </c>
      <c r="I42" s="46">
        <f ca="1">IF(tbl_PLL[[#This Row],[RS]]= "", "", 100-(100/(1+tbl_PLL[[#This Row],[RS]])))</f>
        <v>70.10127697049758</v>
      </c>
      <c r="J42" s="10">
        <f ca="1">IF(ROW($N42)-4&lt;BB_Periods, "", AVERAGE(INDIRECT(ADDRESS(ROW($F42)-RSI_Periods +1, MATCH("Adj Close", Price_Header,0))): INDIRECT(ADDRESS(ROW($F42),MATCH("Adj Close", Price_Header,0)))))</f>
        <v>15.091428571428574</v>
      </c>
      <c r="K42" s="10">
        <f ca="1">IF(tbl_PLL[[#This Row],[BB_Mean]]="", "", tbl_PLL[[#This Row],[BB_Mean]]+(BB_Width*tbl_PLL[[#This Row],[BB_Stdev]]))</f>
        <v>32.981946656789795</v>
      </c>
      <c r="L42" s="10">
        <f ca="1">IF(tbl_PLL[[#This Row],[BB_Mean]]="", "", tbl_PLL[[#This Row],[BB_Mean]]-(BB_Width*tbl_PLL[[#This Row],[BB_Stdev]]))</f>
        <v>-2.7990895139326479</v>
      </c>
      <c r="M42" s="46">
        <f>IF(ROW(tbl_PLL[[#This Row],[Adj Close]])=5, 0, $F42-$F41)</f>
        <v>1.889999999999997</v>
      </c>
      <c r="N42" s="46">
        <f>MAX(tbl_PLL[[#This Row],[Move]],0)</f>
        <v>1.889999999999997</v>
      </c>
      <c r="O42" s="46">
        <f>MAX(-tbl_PLL[[#This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2.274285714285714</v>
      </c>
      <c r="Q42" s="46">
        <f ca="1">IF(ROW($O42)-5&lt;RSI_Periods, "", AVERAGE(INDIRECT(ADDRESS(ROW($O42)-RSI_Periods +1, MATCH("Downmove", Price_Header,0))): INDIRECT(ADDRESS(ROW($O42),MATCH("Downmove", Price_Header,0)))))</f>
        <v>0.96999999999999986</v>
      </c>
      <c r="R42" s="46">
        <f ca="1">IF(tbl_PLL[[#This Row],[Avg_Upmove]]="", "", tbl_PLL[[#This Row],[Avg_Upmove]]/tbl_PLL[[#This Row],[Avg_Downmove]])</f>
        <v>2.3446244477172313</v>
      </c>
      <c r="S42" s="10">
        <f ca="1">IF(ROW($N42)-4&lt;BB_Periods, "", _xlfn.STDEV.S(INDIRECT(ADDRESS(ROW($F42)-RSI_Periods +1, MATCH("Adj Close", Price_Header,0))): INDIRECT(ADDRESS(ROW($F42),MATCH("Adj Close", Price_Header,0)))))</f>
        <v>8.9452590426806111</v>
      </c>
    </row>
    <row r="43" spans="1:19" x14ac:dyDescent="0.35">
      <c r="A43" s="8">
        <v>44106</v>
      </c>
      <c r="B43" s="10">
        <v>23.51</v>
      </c>
      <c r="C43" s="10">
        <v>28.6</v>
      </c>
      <c r="D43" s="10">
        <v>23.3</v>
      </c>
      <c r="E43" s="10">
        <v>26.11</v>
      </c>
      <c r="F43" s="10">
        <v>26.11</v>
      </c>
      <c r="G43">
        <v>3179100</v>
      </c>
      <c r="H43" s="10">
        <f>IF(tbl_PLL[[#This Row],[Date]]=$A$5, $F43, EMA_Beta*$H42 + (1-EMA_Beta)*$F43)</f>
        <v>16.351751874379488</v>
      </c>
      <c r="I43" s="46">
        <f ca="1">IF(tbl_PLL[[#This Row],[RS]]= "", "", 100-(100/(1+tbl_PLL[[#This Row],[RS]])))</f>
        <v>70.484677244077375</v>
      </c>
      <c r="J43" s="10">
        <f ca="1">IF(ROW($N43)-4&lt;BB_Periods, "", AVERAGE(INDIRECT(ADDRESS(ROW($F43)-RSI_Periods +1, MATCH("Adj Close", Price_Header,0))): INDIRECT(ADDRESS(ROW($F43),MATCH("Adj Close", Price_Header,0)))))</f>
        <v>16.437857142857144</v>
      </c>
      <c r="K43" s="10">
        <f ca="1">IF(tbl_PLL[[#This Row],[BB_Mean]]="", "", tbl_PLL[[#This Row],[BB_Mean]]+(BB_Width*tbl_PLL[[#This Row],[BB_Stdev]]))</f>
        <v>34.624302101116037</v>
      </c>
      <c r="L43" s="10">
        <f ca="1">IF(tbl_PLL[[#This Row],[BB_Mean]]="", "", tbl_PLL[[#This Row],[BB_Mean]]-(BB_Width*tbl_PLL[[#This Row],[BB_Stdev]]))</f>
        <v>-1.7485878154017485</v>
      </c>
      <c r="M43" s="46">
        <f>IF(ROW(tbl_PLL[[#This Row],[Adj Close]])=5, 0, $F43-$F42)</f>
        <v>0.80000000000000071</v>
      </c>
      <c r="N43" s="46">
        <f>MAX(tbl_PLL[[#This Row],[Move]],0)</f>
        <v>0.80000000000000071</v>
      </c>
      <c r="O43" s="46">
        <f>MAX(-tbl_PLL[[#This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2.3164285714285713</v>
      </c>
      <c r="Q43" s="46">
        <f ca="1">IF(ROW($O43)-5&lt;RSI_Periods, "", AVERAGE(INDIRECT(ADDRESS(ROW($O43)-RSI_Periods +1, MATCH("Downmove", Price_Header,0))): INDIRECT(ADDRESS(ROW($O43),MATCH("Downmove", Price_Header,0)))))</f>
        <v>0.96999999999999986</v>
      </c>
      <c r="R43" s="46">
        <f ca="1">IF(tbl_PLL[[#This Row],[Avg_Upmove]]="", "", tbl_PLL[[#This Row],[Avg_Upmove]]/tbl_PLL[[#This Row],[Avg_Downmove]])</f>
        <v>2.3880706921944039</v>
      </c>
      <c r="S43" s="10">
        <f ca="1">IF(ROW($N43)-4&lt;BB_Periods, "", _xlfn.STDEV.S(INDIRECT(ADDRESS(ROW($F43)-RSI_Periods +1, MATCH("Adj Close", Price_Header,0))): INDIRECT(ADDRESS(ROW($F43),MATCH("Adj Close", Price_Header,0)))))</f>
        <v>9.0932224791294463</v>
      </c>
    </row>
    <row r="44" spans="1:19" x14ac:dyDescent="0.35">
      <c r="A44" s="8">
        <v>44109</v>
      </c>
      <c r="B44" s="10">
        <v>29.06</v>
      </c>
      <c r="C44" s="10">
        <v>39.08</v>
      </c>
      <c r="D44" s="10">
        <v>27.5</v>
      </c>
      <c r="E44" s="10">
        <v>34.659999999999997</v>
      </c>
      <c r="F44" s="10">
        <v>34.659999999999997</v>
      </c>
      <c r="G44">
        <v>11608600</v>
      </c>
      <c r="H44" s="10">
        <f>IF(tbl_PLL[[#This Row],[Date]]=$A$5, $F44, EMA_Beta*$H43 + (1-EMA_Beta)*$F44)</f>
        <v>18.182576686941538</v>
      </c>
      <c r="I44" s="46">
        <f ca="1">IF(tbl_PLL[[#This Row],[RS]]= "", "", 100-(100/(1+tbl_PLL[[#This Row],[RS]])))</f>
        <v>74.949271352149054</v>
      </c>
      <c r="J44" s="10">
        <f ca="1">IF(ROW($N44)-4&lt;BB_Periods, "", AVERAGE(INDIRECT(ADDRESS(ROW($F44)-RSI_Periods +1, MATCH("Adj Close", Price_Header,0))): INDIRECT(ADDRESS(ROW($F44),MATCH("Adj Close", Price_Header,0)))))</f>
        <v>18.370000000000005</v>
      </c>
      <c r="K44" s="10">
        <f ca="1">IF(tbl_PLL[[#This Row],[BB_Mean]]="", "", tbl_PLL[[#This Row],[BB_Mean]]+(BB_Width*tbl_PLL[[#This Row],[BB_Stdev]]))</f>
        <v>38.190564301522009</v>
      </c>
      <c r="L44" s="10">
        <f ca="1">IF(tbl_PLL[[#This Row],[BB_Mean]]="", "", tbl_PLL[[#This Row],[BB_Mean]]-(BB_Width*tbl_PLL[[#This Row],[BB_Stdev]]))</f>
        <v>-1.4505643015220002</v>
      </c>
      <c r="M44" s="46">
        <f>IF(ROW(tbl_PLL[[#This Row],[Adj Close]])=5, 0, $F44-$F43)</f>
        <v>8.5499999999999972</v>
      </c>
      <c r="N44" s="46">
        <f>MAX(tbl_PLL[[#This Row],[Move]],0)</f>
        <v>8.5499999999999972</v>
      </c>
      <c r="O44" s="46">
        <f>MAX(-tbl_PLL[[#This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2.9021428571428567</v>
      </c>
      <c r="Q44" s="46">
        <f ca="1">IF(ROW($O44)-5&lt;RSI_Periods, "", AVERAGE(INDIRECT(ADDRESS(ROW($O44)-RSI_Periods +1, MATCH("Downmove", Price_Header,0))): INDIRECT(ADDRESS(ROW($O44),MATCH("Downmove", Price_Header,0)))))</f>
        <v>0.96999999999999986</v>
      </c>
      <c r="R44" s="46">
        <f ca="1">IF(tbl_PLL[[#This Row],[Avg_Upmove]]="", "", tbl_PLL[[#This Row],[Avg_Upmove]]/tbl_PLL[[#This Row],[Avg_Downmove]])</f>
        <v>2.991899852724595</v>
      </c>
      <c r="S44" s="10">
        <f ca="1">IF(ROW($N44)-4&lt;BB_Periods, "", _xlfn.STDEV.S(INDIRECT(ADDRESS(ROW($F44)-RSI_Periods +1, MATCH("Adj Close", Price_Header,0))): INDIRECT(ADDRESS(ROW($F44),MATCH("Adj Close", Price_Header,0)))))</f>
        <v>9.9102821507610024</v>
      </c>
    </row>
    <row r="45" spans="1:19" x14ac:dyDescent="0.35">
      <c r="A45" s="8">
        <v>44110</v>
      </c>
      <c r="B45" s="10">
        <v>40</v>
      </c>
      <c r="C45" s="10">
        <v>49.45</v>
      </c>
      <c r="D45" s="10">
        <v>39.07</v>
      </c>
      <c r="E45" s="10">
        <v>42</v>
      </c>
      <c r="F45" s="10">
        <v>42</v>
      </c>
      <c r="G45">
        <v>16612400</v>
      </c>
      <c r="H45" s="10">
        <f>IF(tbl_PLL[[#This Row],[Date]]=$A$5, $F45, EMA_Beta*$H44 + (1-EMA_Beta)*$F45)</f>
        <v>20.564319018247385</v>
      </c>
      <c r="I45" s="46">
        <f ca="1">IF(tbl_PLL[[#This Row],[RS]]= "", "", 100-(100/(1+tbl_PLL[[#This Row],[RS]])))</f>
        <v>77.686493591850152</v>
      </c>
      <c r="J45" s="10">
        <f ca="1">IF(ROW($N45)-4&lt;BB_Periods, "", AVERAGE(INDIRECT(ADDRESS(ROW($F45)-RSI_Periods +1, MATCH("Adj Close", Price_Header,0))): INDIRECT(ADDRESS(ROW($F45),MATCH("Adj Close", Price_Header,0)))))</f>
        <v>20.777142857142856</v>
      </c>
      <c r="K45" s="10">
        <f ca="1">IF(tbl_PLL[[#This Row],[BB_Mean]]="", "", tbl_PLL[[#This Row],[BB_Mean]]+(BB_Width*tbl_PLL[[#This Row],[BB_Stdev]]))</f>
        <v>43.327116663808766</v>
      </c>
      <c r="L45" s="10">
        <f ca="1">IF(tbl_PLL[[#This Row],[BB_Mean]]="", "", tbl_PLL[[#This Row],[BB_Mean]]-(BB_Width*tbl_PLL[[#This Row],[BB_Stdev]]))</f>
        <v>-1.7728309495230512</v>
      </c>
      <c r="M45" s="46">
        <f>IF(ROW(tbl_PLL[[#This Row],[Adj Close]])=5, 0, $F45-$F44)</f>
        <v>7.3400000000000034</v>
      </c>
      <c r="N45" s="46">
        <f>MAX(tbl_PLL[[#This Row],[Move]],0)</f>
        <v>7.3400000000000034</v>
      </c>
      <c r="O45" s="46">
        <f>MAX(-tbl_PLL[[#This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3.3771428571428572</v>
      </c>
      <c r="Q45" s="46">
        <f ca="1">IF(ROW($O45)-5&lt;RSI_Periods, "", AVERAGE(INDIRECT(ADDRESS(ROW($O45)-RSI_Periods +1, MATCH("Downmove", Price_Header,0))): INDIRECT(ADDRESS(ROW($O45),MATCH("Downmove", Price_Header,0)))))</f>
        <v>0.96999999999999986</v>
      </c>
      <c r="R45" s="46">
        <f ca="1">IF(tbl_PLL[[#This Row],[Avg_Upmove]]="", "", tbl_PLL[[#This Row],[Avg_Upmove]]/tbl_PLL[[#This Row],[Avg_Downmove]])</f>
        <v>3.48159057437408</v>
      </c>
      <c r="S45" s="10">
        <f ca="1">IF(ROW($N45)-4&lt;BB_Periods, "", _xlfn.STDEV.S(INDIRECT(ADDRESS(ROW($F45)-RSI_Periods +1, MATCH("Adj Close", Price_Header,0))): INDIRECT(ADDRESS(ROW($F45),MATCH("Adj Close", Price_Header,0)))))</f>
        <v>11.274986903332954</v>
      </c>
    </row>
    <row r="46" spans="1:19" x14ac:dyDescent="0.35">
      <c r="A46" s="8">
        <v>44111</v>
      </c>
      <c r="B46" s="10">
        <v>46.19</v>
      </c>
      <c r="C46" s="10">
        <v>48.95</v>
      </c>
      <c r="D46" s="10">
        <v>41.21</v>
      </c>
      <c r="E46" s="10">
        <v>42.84</v>
      </c>
      <c r="F46" s="10">
        <v>42.84</v>
      </c>
      <c r="G46">
        <v>6662000</v>
      </c>
      <c r="H46" s="10">
        <f>IF(tbl_PLL[[#This Row],[Date]]=$A$5, $F46, EMA_Beta*$H45 + (1-EMA_Beta)*$F46)</f>
        <v>22.791887116422647</v>
      </c>
      <c r="I46" s="46">
        <f ca="1">IF(tbl_PLL[[#This Row],[RS]]= "", "", 100-(100/(1+tbl_PLL[[#This Row],[RS]])))</f>
        <v>76.983050847457633</v>
      </c>
      <c r="J46" s="10">
        <f ca="1">IF(ROW($N46)-4&lt;BB_Periods, "", AVERAGE(INDIRECT(ADDRESS(ROW($F46)-RSI_Periods +1, MATCH("Adj Close", Price_Header,0))): INDIRECT(ADDRESS(ROW($F46),MATCH("Adj Close", Price_Header,0)))))</f>
        <v>23.051428571428573</v>
      </c>
      <c r="K46" s="10">
        <f ca="1">IF(tbl_PLL[[#This Row],[BB_Mean]]="", "", tbl_PLL[[#This Row],[BB_Mean]]+(BB_Width*tbl_PLL[[#This Row],[BB_Stdev]]))</f>
        <v>47.680324492393311</v>
      </c>
      <c r="L46" s="10">
        <f ca="1">IF(tbl_PLL[[#This Row],[BB_Mean]]="", "", tbl_PLL[[#This Row],[BB_Mean]]-(BB_Width*tbl_PLL[[#This Row],[BB_Stdev]]))</f>
        <v>-1.5774673495361675</v>
      </c>
      <c r="M46" s="46">
        <f>IF(ROW(tbl_PLL[[#This Row],[Adj Close]])=5, 0, $F46-$F45)</f>
        <v>0.84000000000000341</v>
      </c>
      <c r="N46" s="46">
        <f>MAX(tbl_PLL[[#This Row],[Move]],0)</f>
        <v>0.84000000000000341</v>
      </c>
      <c r="O46" s="46">
        <f>MAX(-tbl_PLL[[#This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3.2442857142857142</v>
      </c>
      <c r="Q46" s="46">
        <f ca="1">IF(ROW($O46)-5&lt;RSI_Periods, "", AVERAGE(INDIRECT(ADDRESS(ROW($O46)-RSI_Periods +1, MATCH("Downmove", Price_Header,0))): INDIRECT(ADDRESS(ROW($O46),MATCH("Downmove", Price_Header,0)))))</f>
        <v>0.96999999999999986</v>
      </c>
      <c r="R46" s="46">
        <f ca="1">IF(tbl_PLL[[#This Row],[Avg_Upmove]]="", "", tbl_PLL[[#This Row],[Avg_Upmove]]/tbl_PLL[[#This Row],[Avg_Downmove]])</f>
        <v>3.3446244477172318</v>
      </c>
      <c r="S46" s="10">
        <f ca="1">IF(ROW($N46)-4&lt;BB_Periods, "", _xlfn.STDEV.S(INDIRECT(ADDRESS(ROW($F46)-RSI_Periods +1, MATCH("Adj Close", Price_Header,0))): INDIRECT(ADDRESS(ROW($F46),MATCH("Adj Close", Price_Header,0)))))</f>
        <v>12.31444796048237</v>
      </c>
    </row>
    <row r="47" spans="1:19" x14ac:dyDescent="0.35">
      <c r="A47" s="8">
        <v>44112</v>
      </c>
      <c r="B47" s="10">
        <v>41.55</v>
      </c>
      <c r="C47" s="10">
        <v>41.8</v>
      </c>
      <c r="D47" s="10">
        <v>36.85</v>
      </c>
      <c r="E47" s="10">
        <v>38.85</v>
      </c>
      <c r="F47" s="10">
        <v>38.85</v>
      </c>
      <c r="G47">
        <v>2932900</v>
      </c>
      <c r="H47" s="10">
        <f>IF(tbl_PLL[[#This Row],[Date]]=$A$5, $F47, EMA_Beta*$H46 + (1-EMA_Beta)*$F47)</f>
        <v>24.397698404780382</v>
      </c>
      <c r="I47" s="46">
        <f ca="1">IF(tbl_PLL[[#This Row],[RS]]= "", "", 100-(100/(1+tbl_PLL[[#This Row],[RS]])))</f>
        <v>72.106683600571515</v>
      </c>
      <c r="J47" s="10">
        <f ca="1">IF(ROW($N47)-4&lt;BB_Periods, "", AVERAGE(INDIRECT(ADDRESS(ROW($F47)-RSI_Periods +1, MATCH("Adj Close", Price_Header,0))): INDIRECT(ADDRESS(ROW($F47),MATCH("Adj Close", Price_Header,0)))))</f>
        <v>25.040714285714291</v>
      </c>
      <c r="K47" s="10">
        <f ca="1">IF(tbl_PLL[[#This Row],[BB_Mean]]="", "", tbl_PLL[[#This Row],[BB_Mean]]+(BB_Width*tbl_PLL[[#This Row],[BB_Stdev]]))</f>
        <v>49.973544004825534</v>
      </c>
      <c r="L47" s="10">
        <f ca="1">IF(tbl_PLL[[#This Row],[BB_Mean]]="", "", tbl_PLL[[#This Row],[BB_Mean]]-(BB_Width*tbl_PLL[[#This Row],[BB_Stdev]]))</f>
        <v>0.10788456660304746</v>
      </c>
      <c r="M47" s="46">
        <f>IF(ROW(tbl_PLL[[#This Row],[Adj Close]])=5, 0, $F47-$F46)</f>
        <v>-3.990000000000002</v>
      </c>
      <c r="N47" s="46">
        <f>MAX(tbl_PLL[[#This Row],[Move]],0)</f>
        <v>0</v>
      </c>
      <c r="O47" s="46">
        <f>MAX(-tbl_PLL[[#This Row],[Move]],0)</f>
        <v>3.990000000000002</v>
      </c>
      <c r="P47" s="46">
        <f ca="1">IF(ROW($N47)-5&lt;RSI_Periods, "", AVERAGE(INDIRECT(ADDRESS(ROW($N47)-RSI_Periods +1, MATCH("Upmove", Price_Header,0))): INDIRECT(ADDRESS(ROW($N47),MATCH("Upmove", Price_Header,0)))))</f>
        <v>3.2442857142857142</v>
      </c>
      <c r="Q47" s="46">
        <f ca="1">IF(ROW($O47)-5&lt;RSI_Periods, "", AVERAGE(INDIRECT(ADDRESS(ROW($O47)-RSI_Periods +1, MATCH("Downmove", Price_Header,0))): INDIRECT(ADDRESS(ROW($O47),MATCH("Downmove", Price_Header,0)))))</f>
        <v>1.2550000000000001</v>
      </c>
      <c r="R47" s="46">
        <f ca="1">IF(tbl_PLL[[#This Row],[Avg_Upmove]]="", "", tbl_PLL[[#This Row],[Avg_Upmove]]/tbl_PLL[[#This Row],[Avg_Downmove]])</f>
        <v>2.5850882185543536</v>
      </c>
      <c r="S47" s="10">
        <f ca="1">IF(ROW($N47)-4&lt;BB_Periods, "", _xlfn.STDEV.S(INDIRECT(ADDRESS(ROW($F47)-RSI_Periods +1, MATCH("Adj Close", Price_Header,0))): INDIRECT(ADDRESS(ROW($F47),MATCH("Adj Close", Price_Header,0)))))</f>
        <v>12.466414859555622</v>
      </c>
    </row>
    <row r="48" spans="1:19" x14ac:dyDescent="0.35">
      <c r="A48" s="8">
        <v>44113</v>
      </c>
      <c r="B48" s="10">
        <v>41.11</v>
      </c>
      <c r="C48" s="10">
        <v>41.5</v>
      </c>
      <c r="D48" s="10">
        <v>38.020000000000003</v>
      </c>
      <c r="E48" s="10">
        <v>39.11</v>
      </c>
      <c r="F48" s="10">
        <v>39.11</v>
      </c>
      <c r="G48">
        <v>1461300</v>
      </c>
      <c r="H48" s="10">
        <f>IF(tbl_PLL[[#This Row],[Date]]=$A$5, $F48, EMA_Beta*$H47 + (1-EMA_Beta)*$F48)</f>
        <v>25.86892856430234</v>
      </c>
      <c r="I48" s="46">
        <f ca="1">IF(tbl_PLL[[#This Row],[RS]]= "", "", 100-(100/(1+tbl_PLL[[#This Row],[RS]])))</f>
        <v>72.221343873517782</v>
      </c>
      <c r="J48" s="10">
        <f ca="1">IF(ROW($N48)-4&lt;BB_Periods, "", AVERAGE(INDIRECT(ADDRESS(ROW($F48)-RSI_Periods +1, MATCH("Adj Close", Price_Header,0))): INDIRECT(ADDRESS(ROW($F48),MATCH("Adj Close", Price_Header,0)))))</f>
        <v>27.048571428571432</v>
      </c>
      <c r="K48" s="10">
        <f ca="1">IF(tbl_PLL[[#This Row],[BB_Mean]]="", "", tbl_PLL[[#This Row],[BB_Mean]]+(BB_Width*tbl_PLL[[#This Row],[BB_Stdev]]))</f>
        <v>51.635696085616999</v>
      </c>
      <c r="L48" s="10">
        <f ca="1">IF(tbl_PLL[[#This Row],[BB_Mean]]="", "", tbl_PLL[[#This Row],[BB_Mean]]-(BB_Width*tbl_PLL[[#This Row],[BB_Stdev]]))</f>
        <v>2.4614467715258641</v>
      </c>
      <c r="M48" s="46">
        <f>IF(ROW(tbl_PLL[[#This Row],[Adj Close]])=5, 0, $F48-$F47)</f>
        <v>0.25999999999999801</v>
      </c>
      <c r="N48" s="46">
        <f>MAX(tbl_PLL[[#This Row],[Move]],0)</f>
        <v>0.25999999999999801</v>
      </c>
      <c r="O48" s="46">
        <f>MAX(-tbl_PLL[[#This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3.2628571428571429</v>
      </c>
      <c r="Q48" s="46">
        <f ca="1">IF(ROW($O48)-5&lt;RSI_Periods, "", AVERAGE(INDIRECT(ADDRESS(ROW($O48)-RSI_Periods +1, MATCH("Downmove", Price_Header,0))): INDIRECT(ADDRESS(ROW($O48),MATCH("Downmove", Price_Header,0)))))</f>
        <v>1.2550000000000001</v>
      </c>
      <c r="R48" s="46">
        <f ca="1">IF(tbl_PLL[[#This Row],[Avg_Upmove]]="", "", tbl_PLL[[#This Row],[Avg_Upmove]]/tbl_PLL[[#This Row],[Avg_Downmove]])</f>
        <v>2.5998861696072848</v>
      </c>
      <c r="S48" s="10">
        <f ca="1">IF(ROW($N48)-4&lt;BB_Periods, "", _xlfn.STDEV.S(INDIRECT(ADDRESS(ROW($F48)-RSI_Periods +1, MATCH("Adj Close", Price_Header,0))): INDIRECT(ADDRESS(ROW($F48),MATCH("Adj Close", Price_Header,0)))))</f>
        <v>12.293562328522784</v>
      </c>
    </row>
    <row r="49" spans="1:19" x14ac:dyDescent="0.35">
      <c r="A49" s="8">
        <v>44116</v>
      </c>
      <c r="B49" s="10">
        <v>37</v>
      </c>
      <c r="C49" s="10">
        <v>37.06</v>
      </c>
      <c r="D49" s="10">
        <v>33.799999999999997</v>
      </c>
      <c r="E49" s="10">
        <v>34.4</v>
      </c>
      <c r="F49" s="10">
        <v>34.4</v>
      </c>
      <c r="G49">
        <v>2242200</v>
      </c>
      <c r="H49" s="10">
        <f>IF(tbl_PLL[[#This Row],[Date]]=$A$5, $F49, EMA_Beta*$H48 + (1-EMA_Beta)*$F49)</f>
        <v>26.722035707872106</v>
      </c>
      <c r="I49" s="46">
        <f ca="1">IF(tbl_PLL[[#This Row],[RS]]= "", "", 100-(100/(1+tbl_PLL[[#This Row],[RS]])))</f>
        <v>67.216009417304292</v>
      </c>
      <c r="J49" s="10">
        <f ca="1">IF(ROW($N49)-4&lt;BB_Periods, "", AVERAGE(INDIRECT(ADDRESS(ROW($F49)-RSI_Periods +1, MATCH("Adj Close", Price_Header,0))): INDIRECT(ADDRESS(ROW($F49),MATCH("Adj Close", Price_Header,0)))))</f>
        <v>28.72</v>
      </c>
      <c r="K49" s="10">
        <f ca="1">IF(tbl_PLL[[#This Row],[BB_Mean]]="", "", tbl_PLL[[#This Row],[BB_Mean]]+(BB_Width*tbl_PLL[[#This Row],[BB_Stdev]]))</f>
        <v>51.738970103273189</v>
      </c>
      <c r="L49" s="10">
        <f ca="1">IF(tbl_PLL[[#This Row],[BB_Mean]]="", "", tbl_PLL[[#This Row],[BB_Mean]]-(BB_Width*tbl_PLL[[#This Row],[BB_Stdev]]))</f>
        <v>5.7010298967268049</v>
      </c>
      <c r="M49" s="46">
        <f>IF(ROW(tbl_PLL[[#This Row],[Adj Close]])=5, 0, $F49-$F48)</f>
        <v>-4.7100000000000009</v>
      </c>
      <c r="N49" s="46">
        <f>MAX(tbl_PLL[[#This Row],[Move]],0)</f>
        <v>0</v>
      </c>
      <c r="O49" s="46">
        <f>MAX(-tbl_PLL[[#This Row],[Move]],0)</f>
        <v>4.7100000000000009</v>
      </c>
      <c r="P49" s="46">
        <f ca="1">IF(ROW($N49)-5&lt;RSI_Periods, "", AVERAGE(INDIRECT(ADDRESS(ROW($N49)-RSI_Periods +1, MATCH("Upmove", Price_Header,0))): INDIRECT(ADDRESS(ROW($N49),MATCH("Upmove", Price_Header,0)))))</f>
        <v>3.2628571428571429</v>
      </c>
      <c r="Q49" s="46">
        <f ca="1">IF(ROW($O49)-5&lt;RSI_Periods, "", AVERAGE(INDIRECT(ADDRESS(ROW($O49)-RSI_Periods +1, MATCH("Downmove", Price_Header,0))): INDIRECT(ADDRESS(ROW($O49),MATCH("Downmove", Price_Header,0)))))</f>
        <v>1.5914285714285714</v>
      </c>
      <c r="R49" s="46">
        <f ca="1">IF(tbl_PLL[[#This Row],[Avg_Upmove]]="", "", tbl_PLL[[#This Row],[Avg_Upmove]]/tbl_PLL[[#This Row],[Avg_Downmove]])</f>
        <v>2.0502692998204668</v>
      </c>
      <c r="S49" s="10">
        <f ca="1">IF(ROW($N49)-4&lt;BB_Periods, "", _xlfn.STDEV.S(INDIRECT(ADDRESS(ROW($F49)-RSI_Periods +1, MATCH("Adj Close", Price_Header,0))): INDIRECT(ADDRESS(ROW($F49),MATCH("Adj Close", Price_Header,0)))))</f>
        <v>11.509485051636597</v>
      </c>
    </row>
    <row r="50" spans="1:19" x14ac:dyDescent="0.35">
      <c r="A50" s="8">
        <v>44117</v>
      </c>
      <c r="B50" s="10">
        <v>32.159999999999997</v>
      </c>
      <c r="C50" s="10">
        <v>35.5</v>
      </c>
      <c r="D50" s="10">
        <v>32</v>
      </c>
      <c r="E50" s="10">
        <v>32</v>
      </c>
      <c r="F50" s="10">
        <v>32</v>
      </c>
      <c r="G50">
        <v>1458400</v>
      </c>
      <c r="H50" s="10">
        <f>IF(tbl_PLL[[#This Row],[Date]]=$A$5, $F50, EMA_Beta*$H49 + (1-EMA_Beta)*$F50)</f>
        <v>27.249832137084894</v>
      </c>
      <c r="I50" s="46">
        <f ca="1">IF(tbl_PLL[[#This Row],[RS]]= "", "", 100-(100/(1+tbl_PLL[[#This Row],[RS]])))</f>
        <v>64.923251847640699</v>
      </c>
      <c r="J50" s="10">
        <f ca="1">IF(ROW($N50)-4&lt;BB_Periods, "", AVERAGE(INDIRECT(ADDRESS(ROW($F50)-RSI_Periods +1, MATCH("Adj Close", Price_Header,0))): INDIRECT(ADDRESS(ROW($F50),MATCH("Adj Close", Price_Header,0)))))</f>
        <v>30.22</v>
      </c>
      <c r="K50" s="10">
        <f ca="1">IF(tbl_PLL[[#This Row],[BB_Mean]]="", "", tbl_PLL[[#This Row],[BB_Mean]]+(BB_Width*tbl_PLL[[#This Row],[BB_Stdev]]))</f>
        <v>50.880979200862242</v>
      </c>
      <c r="L50" s="10">
        <f ca="1">IF(tbl_PLL[[#This Row],[BB_Mean]]="", "", tbl_PLL[[#This Row],[BB_Mean]]-(BB_Width*tbl_PLL[[#This Row],[BB_Stdev]]))</f>
        <v>9.5590207991377589</v>
      </c>
      <c r="M50" s="46">
        <f>IF(ROW(tbl_PLL[[#This Row],[Adj Close]])=5, 0, $F50-$F49)</f>
        <v>-2.3999999999999986</v>
      </c>
      <c r="N50" s="46">
        <f>MAX(tbl_PLL[[#This Row],[Move]],0)</f>
        <v>0</v>
      </c>
      <c r="O50" s="46">
        <f>MAX(-tbl_PLL[[#This Row],[Move]],0)</f>
        <v>2.3999999999999986</v>
      </c>
      <c r="P50" s="46">
        <f ca="1">IF(ROW($N50)-5&lt;RSI_Periods, "", AVERAGE(INDIRECT(ADDRESS(ROW($N50)-RSI_Periods +1, MATCH("Upmove", Price_Header,0))): INDIRECT(ADDRESS(ROW($N50),MATCH("Upmove", Price_Header,0)))))</f>
        <v>3.2628571428571429</v>
      </c>
      <c r="Q50" s="46">
        <f ca="1">IF(ROW($O50)-5&lt;RSI_Periods, "", AVERAGE(INDIRECT(ADDRESS(ROW($O50)-RSI_Periods +1, MATCH("Downmove", Price_Header,0))): INDIRECT(ADDRESS(ROW($O50),MATCH("Downmove", Price_Header,0)))))</f>
        <v>1.7628571428571429</v>
      </c>
      <c r="R50" s="46">
        <f ca="1">IF(tbl_PLL[[#This Row],[Avg_Upmove]]="", "", tbl_PLL[[#This Row],[Avg_Upmove]]/tbl_PLL[[#This Row],[Avg_Downmove]])</f>
        <v>1.8508914100486225</v>
      </c>
      <c r="S50" s="10">
        <f ca="1">IF(ROW($N50)-4&lt;BB_Periods, "", _xlfn.STDEV.S(INDIRECT(ADDRESS(ROW($F50)-RSI_Periods +1, MATCH("Adj Close", Price_Header,0))): INDIRECT(ADDRESS(ROW($F50),MATCH("Adj Close", Price_Header,0)))))</f>
        <v>10.33048960043112</v>
      </c>
    </row>
    <row r="51" spans="1:19" x14ac:dyDescent="0.35">
      <c r="A51" s="8">
        <v>44118</v>
      </c>
      <c r="B51" s="10">
        <v>33.299999999999997</v>
      </c>
      <c r="C51" s="10">
        <v>36.79</v>
      </c>
      <c r="D51" s="10">
        <v>33</v>
      </c>
      <c r="E51" s="10">
        <v>33.71</v>
      </c>
      <c r="F51" s="10">
        <v>33.71</v>
      </c>
      <c r="G51">
        <v>2607600</v>
      </c>
      <c r="H51" s="10">
        <f>IF(tbl_PLL[[#This Row],[Date]]=$A$5, $F51, EMA_Beta*$H50 + (1-EMA_Beta)*$F51)</f>
        <v>27.895848923376406</v>
      </c>
      <c r="I51" s="46">
        <f ca="1">IF(tbl_PLL[[#This Row],[RS]]= "", "", 100-(100/(1+tbl_PLL[[#This Row],[RS]])))</f>
        <v>65.755515471069799</v>
      </c>
      <c r="J51" s="10">
        <f ca="1">IF(ROW($N51)-4&lt;BB_Periods, "", AVERAGE(INDIRECT(ADDRESS(ROW($F51)-RSI_Periods +1, MATCH("Adj Close", Price_Header,0))): INDIRECT(ADDRESS(ROW($F51),MATCH("Adj Close", Price_Header,0)))))</f>
        <v>31.842142857142857</v>
      </c>
      <c r="K51" s="10">
        <f ca="1">IF(tbl_PLL[[#This Row],[BB_Mean]]="", "", tbl_PLL[[#This Row],[BB_Mean]]+(BB_Width*tbl_PLL[[#This Row],[BB_Stdev]]))</f>
        <v>49.324265908237834</v>
      </c>
      <c r="L51" s="10">
        <f ca="1">IF(tbl_PLL[[#This Row],[BB_Mean]]="", "", tbl_PLL[[#This Row],[BB_Mean]]-(BB_Width*tbl_PLL[[#This Row],[BB_Stdev]]))</f>
        <v>14.360019806047877</v>
      </c>
      <c r="M51" s="46">
        <f>IF(ROW(tbl_PLL[[#This Row],[Adj Close]])=5, 0, $F51-$F50)</f>
        <v>1.7100000000000009</v>
      </c>
      <c r="N51" s="46">
        <f>MAX(tbl_PLL[[#This Row],[Move]],0)</f>
        <v>1.7100000000000009</v>
      </c>
      <c r="O51" s="46">
        <f>MAX(-tbl_PLL[[#This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3.3850000000000002</v>
      </c>
      <c r="Q51" s="46">
        <f ca="1">IF(ROW($O51)-5&lt;RSI_Periods, "", AVERAGE(INDIRECT(ADDRESS(ROW($O51)-RSI_Periods +1, MATCH("Downmove", Price_Header,0))): INDIRECT(ADDRESS(ROW($O51),MATCH("Downmove", Price_Header,0)))))</f>
        <v>1.7628571428571429</v>
      </c>
      <c r="R51" s="46">
        <f ca="1">IF(tbl_PLL[[#This Row],[Avg_Upmove]]="", "", tbl_PLL[[#This Row],[Avg_Upmove]]/tbl_PLL[[#This Row],[Avg_Downmove]])</f>
        <v>1.9201782820097246</v>
      </c>
      <c r="S51" s="10">
        <f ca="1">IF(ROW($N51)-4&lt;BB_Periods, "", _xlfn.STDEV.S(INDIRECT(ADDRESS(ROW($F51)-RSI_Periods +1, MATCH("Adj Close", Price_Header,0))): INDIRECT(ADDRESS(ROW($F51),MATCH("Adj Close", Price_Header,0)))))</f>
        <v>8.7410615255474902</v>
      </c>
    </row>
    <row r="52" spans="1:19" x14ac:dyDescent="0.35">
      <c r="A52" s="8">
        <v>44119</v>
      </c>
      <c r="B52" s="10">
        <v>32.1</v>
      </c>
      <c r="C52" s="10">
        <v>33.69</v>
      </c>
      <c r="D52" s="10">
        <v>31.44</v>
      </c>
      <c r="E52" s="10">
        <v>32.799999999999997</v>
      </c>
      <c r="F52" s="10">
        <v>32.799999999999997</v>
      </c>
      <c r="G52">
        <v>691700</v>
      </c>
      <c r="H52" s="10">
        <f>IF(tbl_PLL[[#This Row],[Date]]=$A$5, $F52, EMA_Beta*$H51 + (1-EMA_Beta)*$F52)</f>
        <v>28.386264031038763</v>
      </c>
      <c r="I52" s="46">
        <f ca="1">IF(tbl_PLL[[#This Row],[RS]]= "", "", 100-(100/(1+tbl_PLL[[#This Row],[RS]])))</f>
        <v>64.935598794190184</v>
      </c>
      <c r="J52" s="10">
        <f ca="1">IF(ROW($N52)-4&lt;BB_Periods, "", AVERAGE(INDIRECT(ADDRESS(ROW($F52)-RSI_Periods +1, MATCH("Adj Close", Price_Header,0))): INDIRECT(ADDRESS(ROW($F52),MATCH("Adj Close", Price_Header,0)))))</f>
        <v>33.399285714285718</v>
      </c>
      <c r="K52" s="10">
        <f ca="1">IF(tbl_PLL[[#This Row],[BB_Mean]]="", "", tbl_PLL[[#This Row],[BB_Mean]]+(BB_Width*tbl_PLL[[#This Row],[BB_Stdev]]))</f>
        <v>46.119431974416557</v>
      </c>
      <c r="L52" s="10">
        <f ca="1">IF(tbl_PLL[[#This Row],[BB_Mean]]="", "", tbl_PLL[[#This Row],[BB_Mean]]-(BB_Width*tbl_PLL[[#This Row],[BB_Stdev]]))</f>
        <v>20.679139454154875</v>
      </c>
      <c r="M52" s="46">
        <f>IF(ROW(tbl_PLL[[#This Row],[Adj Close]])=5, 0, $F52-$F51)</f>
        <v>-0.91000000000000369</v>
      </c>
      <c r="N52" s="46">
        <f>MAX(tbl_PLL[[#This Row],[Move]],0)</f>
        <v>0</v>
      </c>
      <c r="O52" s="46">
        <f>MAX(-tbl_PLL[[#This Row],[Move]],0)</f>
        <v>0.91000000000000369</v>
      </c>
      <c r="P52" s="46">
        <f ca="1">IF(ROW($N52)-5&lt;RSI_Periods, "", AVERAGE(INDIRECT(ADDRESS(ROW($N52)-RSI_Periods +1, MATCH("Upmove", Price_Header,0))): INDIRECT(ADDRESS(ROW($N52),MATCH("Upmove", Price_Header,0)))))</f>
        <v>3.3850000000000002</v>
      </c>
      <c r="Q52" s="46">
        <f ca="1">IF(ROW($O52)-5&lt;RSI_Periods, "", AVERAGE(INDIRECT(ADDRESS(ROW($O52)-RSI_Periods +1, MATCH("Downmove", Price_Header,0))): INDIRECT(ADDRESS(ROW($O52),MATCH("Downmove", Price_Header,0)))))</f>
        <v>1.8278571428571431</v>
      </c>
      <c r="R52" s="46">
        <f ca="1">IF(tbl_PLL[[#This Row],[Avg_Upmove]]="", "", tbl_PLL[[#This Row],[Avg_Upmove]]/tbl_PLL[[#This Row],[Avg_Downmove]])</f>
        <v>1.8518952715904649</v>
      </c>
      <c r="S52" s="10">
        <f ca="1">IF(ROW($N52)-4&lt;BB_Periods, "", _xlfn.STDEV.S(INDIRECT(ADDRESS(ROW($F52)-RSI_Periods +1, MATCH("Adj Close", Price_Header,0))): INDIRECT(ADDRESS(ROW($F52),MATCH("Adj Close", Price_Header,0)))))</f>
        <v>6.3600731300654214</v>
      </c>
    </row>
    <row r="53" spans="1:19" x14ac:dyDescent="0.35">
      <c r="A53" s="8">
        <v>44120</v>
      </c>
      <c r="B53" s="10">
        <v>33.01</v>
      </c>
      <c r="C53" s="10">
        <v>33.42</v>
      </c>
      <c r="D53" s="10">
        <v>29.5</v>
      </c>
      <c r="E53" s="10">
        <v>30.14</v>
      </c>
      <c r="F53" s="10">
        <v>30.14</v>
      </c>
      <c r="G53">
        <v>958900</v>
      </c>
      <c r="H53" s="10">
        <f>IF(tbl_PLL[[#This Row],[Date]]=$A$5, $F53, EMA_Beta*$H52 + (1-EMA_Beta)*$F53)</f>
        <v>28.561637627934886</v>
      </c>
      <c r="I53" s="46">
        <f ca="1">IF(tbl_PLL[[#This Row],[RS]]= "", "", 100-(100/(1+tbl_PLL[[#This Row],[RS]])))</f>
        <v>43.090249798549557</v>
      </c>
      <c r="J53" s="10">
        <f ca="1">IF(ROW($N53)-4&lt;BB_Periods, "", AVERAGE(INDIRECT(ADDRESS(ROW($F53)-RSI_Periods +1, MATCH("Adj Close", Price_Header,0))): INDIRECT(ADDRESS(ROW($F53),MATCH("Adj Close", Price_Header,0)))))</f>
        <v>32.909285714285708</v>
      </c>
      <c r="K53" s="10">
        <f ca="1">IF(tbl_PLL[[#This Row],[BB_Mean]]="", "", tbl_PLL[[#This Row],[BB_Mean]]+(BB_Width*tbl_PLL[[#This Row],[BB_Stdev]]))</f>
        <v>45.560260658256141</v>
      </c>
      <c r="L53" s="10">
        <f ca="1">IF(tbl_PLL[[#This Row],[BB_Mean]]="", "", tbl_PLL[[#This Row],[BB_Mean]]-(BB_Width*tbl_PLL[[#This Row],[BB_Stdev]]))</f>
        <v>20.258310770315276</v>
      </c>
      <c r="M53" s="46">
        <f>IF(ROW(tbl_PLL[[#This Row],[Adj Close]])=5, 0, $F53-$F52)</f>
        <v>-2.6599999999999966</v>
      </c>
      <c r="N53" s="46">
        <f>MAX(tbl_PLL[[#This Row],[Move]],0)</f>
        <v>0</v>
      </c>
      <c r="O53" s="46">
        <f>MAX(-tbl_PLL[[#This Row],[Move]],0)</f>
        <v>2.6599999999999966</v>
      </c>
      <c r="P53" s="46">
        <f ca="1">IF(ROW($N53)-5&lt;RSI_Periods, "", AVERAGE(INDIRECT(ADDRESS(ROW($N53)-RSI_Periods +1, MATCH("Upmove", Price_Header,0))): INDIRECT(ADDRESS(ROW($N53),MATCH("Upmove", Price_Header,0)))))</f>
        <v>1.5278571428571428</v>
      </c>
      <c r="Q53" s="46">
        <f ca="1">IF(ROW($O53)-5&lt;RSI_Periods, "", AVERAGE(INDIRECT(ADDRESS(ROW($O53)-RSI_Periods +1, MATCH("Downmove", Price_Header,0))): INDIRECT(ADDRESS(ROW($O53),MATCH("Downmove", Price_Header,0)))))</f>
        <v>2.0178571428571428</v>
      </c>
      <c r="R53" s="46">
        <f ca="1">IF(tbl_PLL[[#This Row],[Avg_Upmove]]="", "", tbl_PLL[[#This Row],[Avg_Upmove]]/tbl_PLL[[#This Row],[Avg_Downmove]])</f>
        <v>0.75716814159292034</v>
      </c>
      <c r="S53" s="10">
        <f ca="1">IF(ROW($N53)-4&lt;BB_Periods, "", _xlfn.STDEV.S(INDIRECT(ADDRESS(ROW($F53)-RSI_Periods +1, MATCH("Adj Close", Price_Header,0))): INDIRECT(ADDRESS(ROW($F53),MATCH("Adj Close", Price_Header,0)))))</f>
        <v>6.325487471985217</v>
      </c>
    </row>
    <row r="54" spans="1:19" x14ac:dyDescent="0.35">
      <c r="A54" s="8">
        <v>44123</v>
      </c>
      <c r="B54" s="10">
        <v>30.27</v>
      </c>
      <c r="C54" s="10">
        <v>31.5</v>
      </c>
      <c r="D54" s="10">
        <v>29.1</v>
      </c>
      <c r="E54" s="10">
        <v>29.2</v>
      </c>
      <c r="F54" s="10">
        <v>29.2</v>
      </c>
      <c r="G54">
        <v>629100</v>
      </c>
      <c r="H54" s="10">
        <f>IF(tbl_PLL[[#This Row],[Date]]=$A$5, $F54, EMA_Beta*$H53 + (1-EMA_Beta)*$F54)</f>
        <v>28.625473865141394</v>
      </c>
      <c r="I54" s="46">
        <f ca="1">IF(tbl_PLL[[#This Row],[RS]]= "", "", 100-(100/(1+tbl_PLL[[#This Row],[RS]])))</f>
        <v>54.902464065708408</v>
      </c>
      <c r="J54" s="10">
        <f ca="1">IF(ROW($N54)-4&lt;BB_Periods, "", AVERAGE(INDIRECT(ADDRESS(ROW($F54)-RSI_Periods +1, MATCH("Adj Close", Price_Header,0))): INDIRECT(ADDRESS(ROW($F54),MATCH("Adj Close", Price_Header,0)))))</f>
        <v>33.182142857142857</v>
      </c>
      <c r="K54" s="10">
        <f ca="1">IF(tbl_PLL[[#This Row],[BB_Mean]]="", "", tbl_PLL[[#This Row],[BB_Mean]]+(BB_Width*tbl_PLL[[#This Row],[BB_Stdev]]))</f>
        <v>45.286555729687002</v>
      </c>
      <c r="L54" s="10">
        <f ca="1">IF(tbl_PLL[[#This Row],[BB_Mean]]="", "", tbl_PLL[[#This Row],[BB_Mean]]-(BB_Width*tbl_PLL[[#This Row],[BB_Stdev]]))</f>
        <v>21.077729984598712</v>
      </c>
      <c r="M54" s="46">
        <f>IF(ROW(tbl_PLL[[#This Row],[Adj Close]])=5, 0, $F54-$F53)</f>
        <v>-0.94000000000000128</v>
      </c>
      <c r="N54" s="46">
        <f>MAX(tbl_PLL[[#This Row],[Move]],0)</f>
        <v>0</v>
      </c>
      <c r="O54" s="46">
        <f>MAX(-tbl_PLL[[#This Row],[Move]],0)</f>
        <v>0.94000000000000128</v>
      </c>
      <c r="P54" s="46">
        <f ca="1">IF(ROW($N54)-5&lt;RSI_Periods, "", AVERAGE(INDIRECT(ADDRESS(ROW($N54)-RSI_Periods +1, MATCH("Upmove", Price_Header,0))): INDIRECT(ADDRESS(ROW($N54),MATCH("Upmove", Price_Header,0)))))</f>
        <v>1.5278571428571428</v>
      </c>
      <c r="Q54" s="46">
        <f ca="1">IF(ROW($O54)-5&lt;RSI_Periods, "", AVERAGE(INDIRECT(ADDRESS(ROW($O54)-RSI_Periods +1, MATCH("Downmove", Price_Header,0))): INDIRECT(ADDRESS(ROW($O54),MATCH("Downmove", Price_Header,0)))))</f>
        <v>1.2550000000000001</v>
      </c>
      <c r="R54" s="46">
        <f ca="1">IF(tbl_PLL[[#This Row],[Avg_Upmove]]="", "", tbl_PLL[[#This Row],[Avg_Upmove]]/tbl_PLL[[#This Row],[Avg_Downmove]])</f>
        <v>1.2174160500853726</v>
      </c>
      <c r="S54" s="10">
        <f ca="1">IF(ROW($N54)-4&lt;BB_Periods, "", _xlfn.STDEV.S(INDIRECT(ADDRESS(ROW($F54)-RSI_Periods +1, MATCH("Adj Close", Price_Header,0))): INDIRECT(ADDRESS(ROW($F54),MATCH("Adj Close", Price_Header,0)))))</f>
        <v>6.0522064362720718</v>
      </c>
    </row>
    <row r="55" spans="1:19" x14ac:dyDescent="0.35">
      <c r="A55" s="8">
        <v>44124</v>
      </c>
      <c r="B55" s="10">
        <v>29.2</v>
      </c>
      <c r="C55" s="10">
        <v>29.2</v>
      </c>
      <c r="D55" s="10">
        <v>29.2</v>
      </c>
      <c r="E55" s="10">
        <v>29.2</v>
      </c>
      <c r="F55" s="10">
        <v>29.2</v>
      </c>
      <c r="G55" t="s">
        <v>96</v>
      </c>
      <c r="H55" s="10">
        <f>IF(tbl_PLL[[#This Row],[Date]]=$A$5, $F55, EMA_Beta*$H54 + (1-EMA_Beta)*$F55)</f>
        <v>28.682926478627255</v>
      </c>
      <c r="I55" s="46">
        <f ca="1">IF(tbl_PLL[[#This Row],[RS]]= "", "", 100-(100/(1+tbl_PLL[[#This Row],[RS]])))</f>
        <v>57.810810810810807</v>
      </c>
      <c r="J55" s="10">
        <f ca="1">IF(ROW($N55)-4&lt;BB_Periods, "", AVERAGE(INDIRECT(ADDRESS(ROW($F55)-RSI_Periods +1, MATCH("Adj Close", Price_Header,0))): INDIRECT(ADDRESS(ROW($F55),MATCH("Adj Close", Price_Header,0)))))</f>
        <v>33.594999999999992</v>
      </c>
      <c r="K55" s="10">
        <f ca="1">IF(tbl_PLL[[#This Row],[BB_Mean]]="", "", tbl_PLL[[#This Row],[BB_Mean]]+(BB_Width*tbl_PLL[[#This Row],[BB_Stdev]]))</f>
        <v>44.610392726683784</v>
      </c>
      <c r="L55" s="10">
        <f ca="1">IF(tbl_PLL[[#This Row],[BB_Mean]]="", "", tbl_PLL[[#This Row],[BB_Mean]]-(BB_Width*tbl_PLL[[#This Row],[BB_Stdev]]))</f>
        <v>22.579607273316196</v>
      </c>
      <c r="M55" s="46">
        <f>IF(ROW(tbl_PLL[[#This Row],[Adj Close]])=5, 0, $F55-$F54)</f>
        <v>0</v>
      </c>
      <c r="N55" s="46">
        <f>MAX(tbl_PLL[[#This Row],[Move]],0)</f>
        <v>0</v>
      </c>
      <c r="O55" s="46">
        <f>MAX(-tbl_PLL[[#This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1.5278571428571428</v>
      </c>
      <c r="Q55" s="46">
        <f ca="1">IF(ROW($O55)-5&lt;RSI_Periods, "", AVERAGE(INDIRECT(ADDRESS(ROW($O55)-RSI_Periods +1, MATCH("Downmove", Price_Header,0))): INDIRECT(ADDRESS(ROW($O55),MATCH("Downmove", Price_Header,0)))))</f>
        <v>1.1150000000000002</v>
      </c>
      <c r="R55" s="46">
        <f ca="1">IF(tbl_PLL[[#This Row],[Avg_Upmove]]="", "", tbl_PLL[[#This Row],[Avg_Upmove]]/tbl_PLL[[#This Row],[Avg_Downmove]])</f>
        <v>1.3702754644458677</v>
      </c>
      <c r="S55" s="10">
        <f ca="1">IF(ROW($N55)-4&lt;BB_Periods, "", _xlfn.STDEV.S(INDIRECT(ADDRESS(ROW($F55)-RSI_Periods +1, MATCH("Adj Close", Price_Header,0))): INDIRECT(ADDRESS(ROW($F55),MATCH("Adj Close", Price_Header,0)))))</f>
        <v>5.507696363341898</v>
      </c>
    </row>
    <row r="56" spans="1:19" x14ac:dyDescent="0.35">
      <c r="A56" s="8">
        <v>44125</v>
      </c>
      <c r="B56" s="10">
        <v>29.2</v>
      </c>
      <c r="C56" s="10">
        <v>29.2</v>
      </c>
      <c r="D56" s="10">
        <v>29.2</v>
      </c>
      <c r="E56" s="10">
        <v>29.2</v>
      </c>
      <c r="F56" s="10">
        <v>29.2</v>
      </c>
      <c r="G56">
        <v>3500</v>
      </c>
      <c r="H56" s="10">
        <f>IF(tbl_PLL[[#This Row],[Date]]=$A$5, $F56, EMA_Beta*$H55 + (1-EMA_Beta)*$F56)</f>
        <v>28.73463383076453</v>
      </c>
      <c r="I56" s="46">
        <f ca="1">IF(tbl_PLL[[#This Row],[RS]]= "", "", 100-(100/(1+tbl_PLL[[#This Row],[RS]])))</f>
        <v>55.539732270008543</v>
      </c>
      <c r="J56" s="10">
        <f ca="1">IF(ROW($N56)-4&lt;BB_Periods, "", AVERAGE(INDIRECT(ADDRESS(ROW($F56)-RSI_Periods +1, MATCH("Adj Close", Price_Header,0))): INDIRECT(ADDRESS(ROW($F56),MATCH("Adj Close", Price_Header,0)))))</f>
        <v>33.872857142857136</v>
      </c>
      <c r="K56" s="10">
        <f ca="1">IF(tbl_PLL[[#This Row],[BB_Mean]]="", "", tbl_PLL[[#This Row],[BB_Mean]]+(BB_Width*tbl_PLL[[#This Row],[BB_Stdev]]))</f>
        <v>44.16019492681859</v>
      </c>
      <c r="L56" s="10">
        <f ca="1">IF(tbl_PLL[[#This Row],[BB_Mean]]="", "", tbl_PLL[[#This Row],[BB_Mean]]-(BB_Width*tbl_PLL[[#This Row],[BB_Stdev]]))</f>
        <v>23.585519358895681</v>
      </c>
      <c r="M56" s="46">
        <f>IF(ROW(tbl_PLL[[#This Row],[Adj Close]])=5, 0, $F56-$F55)</f>
        <v>0</v>
      </c>
      <c r="N56" s="46">
        <f>MAX(tbl_PLL[[#This Row],[Move]],0)</f>
        <v>0</v>
      </c>
      <c r="O56" s="46">
        <f>MAX(-tbl_PLL[[#This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1.392857142857143</v>
      </c>
      <c r="Q56" s="46">
        <f ca="1">IF(ROW($O56)-5&lt;RSI_Periods, "", AVERAGE(INDIRECT(ADDRESS(ROW($O56)-RSI_Periods +1, MATCH("Downmove", Price_Header,0))): INDIRECT(ADDRESS(ROW($O56),MATCH("Downmove", Price_Header,0)))))</f>
        <v>1.1150000000000002</v>
      </c>
      <c r="R56" s="46">
        <f ca="1">IF(tbl_PLL[[#This Row],[Avg_Upmove]]="", "", tbl_PLL[[#This Row],[Avg_Upmove]]/tbl_PLL[[#This Row],[Avg_Downmove]])</f>
        <v>1.2491992312620115</v>
      </c>
      <c r="S56" s="10">
        <f ca="1">IF(ROW($N56)-4&lt;BB_Periods, "", _xlfn.STDEV.S(INDIRECT(ADDRESS(ROW($F56)-RSI_Periods +1, MATCH("Adj Close", Price_Header,0))): INDIRECT(ADDRESS(ROW($F56),MATCH("Adj Close", Price_Header,0)))))</f>
        <v>5.1436688919807283</v>
      </c>
    </row>
    <row r="57" spans="1:19" x14ac:dyDescent="0.35">
      <c r="A57" s="8">
        <v>44126</v>
      </c>
      <c r="B57" s="10">
        <v>26.98</v>
      </c>
      <c r="C57" s="10">
        <v>28.85</v>
      </c>
      <c r="D57" s="10">
        <v>25.5</v>
      </c>
      <c r="E57" s="10">
        <v>27.01</v>
      </c>
      <c r="F57" s="10">
        <v>27.01</v>
      </c>
      <c r="G57">
        <v>1822500</v>
      </c>
      <c r="H57" s="10">
        <f>IF(tbl_PLL[[#This Row],[Date]]=$A$5, $F57, EMA_Beta*$H56 + (1-EMA_Beta)*$F57)</f>
        <v>28.562170447688079</v>
      </c>
      <c r="I57" s="46">
        <f ca="1">IF(tbl_PLL[[#This Row],[RS]]= "", "", 100-(100/(1+tbl_PLL[[#This Row],[RS]])))</f>
        <v>51.232876712328761</v>
      </c>
      <c r="J57" s="10">
        <f ca="1">IF(ROW($N57)-4&lt;BB_Periods, "", AVERAGE(INDIRECT(ADDRESS(ROW($F57)-RSI_Periods +1, MATCH("Adj Close", Price_Header,0))): INDIRECT(ADDRESS(ROW($F57),MATCH("Adj Close", Price_Header,0)))))</f>
        <v>33.937142857142852</v>
      </c>
      <c r="K57" s="10">
        <f ca="1">IF(tbl_PLL[[#This Row],[BB_Mean]]="", "", tbl_PLL[[#This Row],[BB_Mean]]+(BB_Width*tbl_PLL[[#This Row],[BB_Stdev]]))</f>
        <v>44.024824388660335</v>
      </c>
      <c r="L57" s="10">
        <f ca="1">IF(tbl_PLL[[#This Row],[BB_Mean]]="", "", tbl_PLL[[#This Row],[BB_Mean]]-(BB_Width*tbl_PLL[[#This Row],[BB_Stdev]]))</f>
        <v>23.84946132562537</v>
      </c>
      <c r="M57" s="46">
        <f>IF(ROW(tbl_PLL[[#This Row],[Adj Close]])=5, 0, $F57-$F56)</f>
        <v>-2.1899999999999977</v>
      </c>
      <c r="N57" s="46">
        <f>MAX(tbl_PLL[[#This Row],[Move]],0)</f>
        <v>0</v>
      </c>
      <c r="O57" s="46">
        <f>MAX(-tbl_PLL[[#This Row],[Move]],0)</f>
        <v>2.1899999999999977</v>
      </c>
      <c r="P57" s="46">
        <f ca="1">IF(ROW($N57)-5&lt;RSI_Periods, "", AVERAGE(INDIRECT(ADDRESS(ROW($N57)-RSI_Periods +1, MATCH("Upmove", Price_Header,0))): INDIRECT(ADDRESS(ROW($N57),MATCH("Upmove", Price_Header,0)))))</f>
        <v>1.3357142857142859</v>
      </c>
      <c r="Q57" s="46">
        <f ca="1">IF(ROW($O57)-5&lt;RSI_Periods, "", AVERAGE(INDIRECT(ADDRESS(ROW($O57)-RSI_Periods +1, MATCH("Downmove", Price_Header,0))): INDIRECT(ADDRESS(ROW($O57),MATCH("Downmove", Price_Header,0)))))</f>
        <v>1.2714285714285716</v>
      </c>
      <c r="R57" s="46">
        <f ca="1">IF(tbl_PLL[[#This Row],[Avg_Upmove]]="", "", tbl_PLL[[#This Row],[Avg_Upmove]]/tbl_PLL[[#This Row],[Avg_Downmove]])</f>
        <v>1.050561797752809</v>
      </c>
      <c r="S57" s="10">
        <f ca="1">IF(ROW($N57)-4&lt;BB_Periods, "", _xlfn.STDEV.S(INDIRECT(ADDRESS(ROW($F57)-RSI_Periods +1, MATCH("Adj Close", Price_Header,0))): INDIRECT(ADDRESS(ROW($F57),MATCH("Adj Close", Price_Header,0)))))</f>
        <v>5.0438407657587412</v>
      </c>
    </row>
    <row r="58" spans="1:19" x14ac:dyDescent="0.35">
      <c r="A58" s="8">
        <v>44127</v>
      </c>
      <c r="B58" s="10">
        <v>27.26</v>
      </c>
      <c r="C58" s="10">
        <v>27.95</v>
      </c>
      <c r="D58" s="10">
        <v>25.56</v>
      </c>
      <c r="E58" s="10">
        <v>25.78</v>
      </c>
      <c r="F58" s="10">
        <v>25.78</v>
      </c>
      <c r="G58">
        <v>625500</v>
      </c>
      <c r="H58" s="10">
        <f>IF(tbl_PLL[[#This Row],[Date]]=$A$5, $F58, EMA_Beta*$H57 + (1-EMA_Beta)*$F58)</f>
        <v>28.28395340291927</v>
      </c>
      <c r="I58" s="46">
        <f ca="1">IF(tbl_PLL[[#This Row],[RS]]= "", "", 100-(100/(1+tbl_PLL[[#This Row],[RS]])))</f>
        <v>34.784098697738187</v>
      </c>
      <c r="J58" s="10">
        <f ca="1">IF(ROW($N58)-4&lt;BB_Periods, "", AVERAGE(INDIRECT(ADDRESS(ROW($F58)-RSI_Periods +1, MATCH("Adj Close", Price_Header,0))): INDIRECT(ADDRESS(ROW($F58),MATCH("Adj Close", Price_Header,0)))))</f>
        <v>33.302857142857142</v>
      </c>
      <c r="K58" s="10">
        <f ca="1">IF(tbl_PLL[[#This Row],[BB_Mean]]="", "", tbl_PLL[[#This Row],[BB_Mean]]+(BB_Width*tbl_PLL[[#This Row],[BB_Stdev]]))</f>
        <v>44.272862201607552</v>
      </c>
      <c r="L58" s="10">
        <f ca="1">IF(tbl_PLL[[#This Row],[BB_Mean]]="", "", tbl_PLL[[#This Row],[BB_Mean]]-(BB_Width*tbl_PLL[[#This Row],[BB_Stdev]]))</f>
        <v>22.332852084106733</v>
      </c>
      <c r="M58" s="46">
        <f>IF(ROW(tbl_PLL[[#This Row],[Adj Close]])=5, 0, $F58-$F57)</f>
        <v>-1.2300000000000004</v>
      </c>
      <c r="N58" s="46">
        <f>MAX(tbl_PLL[[#This Row],[Move]],0)</f>
        <v>0</v>
      </c>
      <c r="O58" s="46">
        <f>MAX(-tbl_PLL[[#This Row],[Move]],0)</f>
        <v>1.2300000000000004</v>
      </c>
      <c r="P58" s="46">
        <f ca="1">IF(ROW($N58)-5&lt;RSI_Periods, "", AVERAGE(INDIRECT(ADDRESS(ROW($N58)-RSI_Periods +1, MATCH("Upmove", Price_Header,0))): INDIRECT(ADDRESS(ROW($N58),MATCH("Upmove", Price_Header,0)))))</f>
        <v>0.72500000000000042</v>
      </c>
      <c r="Q58" s="46">
        <f ca="1">IF(ROW($O58)-5&lt;RSI_Periods, "", AVERAGE(INDIRECT(ADDRESS(ROW($O58)-RSI_Periods +1, MATCH("Downmove", Price_Header,0))): INDIRECT(ADDRESS(ROW($O58),MATCH("Downmove", Price_Header,0)))))</f>
        <v>1.3592857142857144</v>
      </c>
      <c r="R58" s="46">
        <f ca="1">IF(tbl_PLL[[#This Row],[Avg_Upmove]]="", "", tbl_PLL[[#This Row],[Avg_Upmove]]/tbl_PLL[[#This Row],[Avg_Downmove]])</f>
        <v>0.53336836573830815</v>
      </c>
      <c r="S58" s="10">
        <f ca="1">IF(ROW($N58)-4&lt;BB_Periods, "", _xlfn.STDEV.S(INDIRECT(ADDRESS(ROW($F58)-RSI_Periods +1, MATCH("Adj Close", Price_Header,0))): INDIRECT(ADDRESS(ROW($F58),MATCH("Adj Close", Price_Header,0)))))</f>
        <v>5.4850025293752038</v>
      </c>
    </row>
    <row r="59" spans="1:19" x14ac:dyDescent="0.35">
      <c r="A59" s="8">
        <v>44130</v>
      </c>
      <c r="B59" s="10">
        <v>25</v>
      </c>
      <c r="C59" s="10">
        <v>25.95</v>
      </c>
      <c r="D59" s="10">
        <v>23.09</v>
      </c>
      <c r="E59" s="10">
        <v>24.29</v>
      </c>
      <c r="F59" s="10">
        <v>24.29</v>
      </c>
      <c r="G59">
        <v>710900</v>
      </c>
      <c r="H59" s="10">
        <f>IF(tbl_PLL[[#This Row],[Date]]=$A$5, $F59, EMA_Beta*$H58 + (1-EMA_Beta)*$F59)</f>
        <v>27.884558062627342</v>
      </c>
      <c r="I59" s="46">
        <f ca="1">IF(tbl_PLL[[#This Row],[RS]]= "", "", 100-(100/(1+tbl_PLL[[#This Row],[RS]])))</f>
        <v>12.044577796828122</v>
      </c>
      <c r="J59" s="10">
        <f ca="1">IF(ROW($N59)-4&lt;BB_Periods, "", AVERAGE(INDIRECT(ADDRESS(ROW($F59)-RSI_Periods +1, MATCH("Adj Close", Price_Header,0))): INDIRECT(ADDRESS(ROW($F59),MATCH("Adj Close", Price_Header,0)))))</f>
        <v>32.037857142857135</v>
      </c>
      <c r="K59" s="10">
        <f ca="1">IF(tbl_PLL[[#This Row],[BB_Mean]]="", "", tbl_PLL[[#This Row],[BB_Mean]]+(BB_Width*tbl_PLL[[#This Row],[BB_Stdev]]))</f>
        <v>42.769498865628861</v>
      </c>
      <c r="L59" s="10">
        <f ca="1">IF(tbl_PLL[[#This Row],[BB_Mean]]="", "", tbl_PLL[[#This Row],[BB_Mean]]-(BB_Width*tbl_PLL[[#This Row],[BB_Stdev]]))</f>
        <v>21.306215420085412</v>
      </c>
      <c r="M59" s="46">
        <f>IF(ROW(tbl_PLL[[#This Row],[Adj Close]])=5, 0, $F59-$F58)</f>
        <v>-1.490000000000002</v>
      </c>
      <c r="N59" s="46">
        <f>MAX(tbl_PLL[[#This Row],[Move]],0)</f>
        <v>0</v>
      </c>
      <c r="O59" s="46">
        <f>MAX(-tbl_PLL[[#This Row],[Move]],0)</f>
        <v>1.490000000000002</v>
      </c>
      <c r="P59" s="46">
        <f ca="1">IF(ROW($N59)-5&lt;RSI_Periods, "", AVERAGE(INDIRECT(ADDRESS(ROW($N59)-RSI_Periods +1, MATCH("Upmove", Price_Header,0))): INDIRECT(ADDRESS(ROW($N59),MATCH("Upmove", Price_Header,0)))))</f>
        <v>0.20071428571428587</v>
      </c>
      <c r="Q59" s="46">
        <f ca="1">IF(ROW($O59)-5&lt;RSI_Periods, "", AVERAGE(INDIRECT(ADDRESS(ROW($O59)-RSI_Periods +1, MATCH("Downmove", Price_Header,0))): INDIRECT(ADDRESS(ROW($O59),MATCH("Downmove", Price_Header,0)))))</f>
        <v>1.465714285714286</v>
      </c>
      <c r="R59" s="46">
        <f ca="1">IF(tbl_PLL[[#This Row],[Avg_Upmove]]="", "", tbl_PLL[[#This Row],[Avg_Upmove]]/tbl_PLL[[#This Row],[Avg_Downmove]])</f>
        <v>0.13693957115009756</v>
      </c>
      <c r="S59" s="10">
        <f ca="1">IF(ROW($N59)-4&lt;BB_Periods, "", _xlfn.STDEV.S(INDIRECT(ADDRESS(ROW($F59)-RSI_Periods +1, MATCH("Adj Close", Price_Header,0))): INDIRECT(ADDRESS(ROW($F59),MATCH("Adj Close", Price_Header,0)))))</f>
        <v>5.3658208613858616</v>
      </c>
    </row>
    <row r="60" spans="1:19" x14ac:dyDescent="0.35">
      <c r="A60" s="8">
        <v>44131</v>
      </c>
      <c r="B60" s="10">
        <v>24.2</v>
      </c>
      <c r="C60" s="10">
        <v>24.44</v>
      </c>
      <c r="D60" s="10">
        <v>23.01</v>
      </c>
      <c r="E60" s="10">
        <v>23.3</v>
      </c>
      <c r="F60" s="10">
        <v>23.3</v>
      </c>
      <c r="G60">
        <v>387500</v>
      </c>
      <c r="H60" s="10">
        <f>IF(tbl_PLL[[#This Row],[Date]]=$A$5, $F60, EMA_Beta*$H59 + (1-EMA_Beta)*$F60)</f>
        <v>27.426102256364608</v>
      </c>
      <c r="I60" s="46">
        <f ca="1">IF(tbl_PLL[[#This Row],[RS]]= "", "", 100-(100/(1+tbl_PLL[[#This Row],[RS]])))</f>
        <v>8.390119250425883</v>
      </c>
      <c r="J60" s="10">
        <f ca="1">IF(ROW($N60)-4&lt;BB_Periods, "", AVERAGE(INDIRECT(ADDRESS(ROW($F60)-RSI_Periods +1, MATCH("Adj Close", Price_Header,0))): INDIRECT(ADDRESS(ROW($F60),MATCH("Adj Close", Price_Header,0)))))</f>
        <v>30.642142857142858</v>
      </c>
      <c r="K60" s="10">
        <f ca="1">IF(tbl_PLL[[#This Row],[BB_Mean]]="", "", tbl_PLL[[#This Row],[BB_Mean]]+(BB_Width*tbl_PLL[[#This Row],[BB_Stdev]]))</f>
        <v>40.356336053211599</v>
      </c>
      <c r="L60" s="10">
        <f ca="1">IF(tbl_PLL[[#This Row],[BB_Mean]]="", "", tbl_PLL[[#This Row],[BB_Mean]]-(BB_Width*tbl_PLL[[#This Row],[BB_Stdev]]))</f>
        <v>20.927949661074116</v>
      </c>
      <c r="M60" s="46">
        <f>IF(ROW(tbl_PLL[[#This Row],[Adj Close]])=5, 0, $F60-$F59)</f>
        <v>-0.98999999999999844</v>
      </c>
      <c r="N60" s="46">
        <f>MAX(tbl_PLL[[#This Row],[Move]],0)</f>
        <v>0</v>
      </c>
      <c r="O60" s="46">
        <f>MAX(-tbl_PLL[[#This Row],[Move]],0)</f>
        <v>0.98999999999999844</v>
      </c>
      <c r="P60" s="46">
        <f ca="1">IF(ROW($N60)-5&lt;RSI_Periods, "", AVERAGE(INDIRECT(ADDRESS(ROW($N60)-RSI_Periods +1, MATCH("Upmove", Price_Header,0))): INDIRECT(ADDRESS(ROW($N60),MATCH("Upmove", Price_Header,0)))))</f>
        <v>0.14071428571428563</v>
      </c>
      <c r="Q60" s="46">
        <f ca="1">IF(ROW($O60)-5&lt;RSI_Periods, "", AVERAGE(INDIRECT(ADDRESS(ROW($O60)-RSI_Periods +1, MATCH("Downmove", Price_Header,0))): INDIRECT(ADDRESS(ROW($O60),MATCH("Downmove", Price_Header,0)))))</f>
        <v>1.5364285714285715</v>
      </c>
      <c r="R60" s="46">
        <f ca="1">IF(tbl_PLL[[#This Row],[Avg_Upmove]]="", "", tbl_PLL[[#This Row],[Avg_Upmove]]/tbl_PLL[[#This Row],[Avg_Downmove]])</f>
        <v>9.1585309158530859E-2</v>
      </c>
      <c r="S60" s="10">
        <f ca="1">IF(ROW($N60)-4&lt;BB_Periods, "", _xlfn.STDEV.S(INDIRECT(ADDRESS(ROW($F60)-RSI_Periods +1, MATCH("Adj Close", Price_Header,0))): INDIRECT(ADDRESS(ROW($F60),MATCH("Adj Close", Price_Header,0)))))</f>
        <v>4.8570965980343708</v>
      </c>
    </row>
    <row r="61" spans="1:19" x14ac:dyDescent="0.35">
      <c r="A61" s="8">
        <v>44132</v>
      </c>
      <c r="B61" s="10">
        <v>22.98</v>
      </c>
      <c r="C61" s="10">
        <v>22.98</v>
      </c>
      <c r="D61" s="10">
        <v>20.74</v>
      </c>
      <c r="E61" s="10">
        <v>21.2</v>
      </c>
      <c r="F61" s="10">
        <v>21.2</v>
      </c>
      <c r="G61">
        <v>608000</v>
      </c>
      <c r="H61" s="10">
        <f>IF(tbl_PLL[[#This Row],[Date]]=$A$5, $F61, EMA_Beta*$H60 + (1-EMA_Beta)*$F61)</f>
        <v>26.803492030728147</v>
      </c>
      <c r="I61" s="46">
        <f ca="1">IF(tbl_PLL[[#This Row],[RS]]= "", "", 100-(100/(1+tbl_PLL[[#This Row],[RS]])))</f>
        <v>9.1245947197776758</v>
      </c>
      <c r="J61" s="10">
        <f ca="1">IF(ROW($N61)-4&lt;BB_Periods, "", AVERAGE(INDIRECT(ADDRESS(ROW($F61)-RSI_Periods +1, MATCH("Adj Close", Price_Header,0))): INDIRECT(ADDRESS(ROW($F61),MATCH("Adj Close", Price_Header,0)))))</f>
        <v>29.381428571428568</v>
      </c>
      <c r="K61" s="10">
        <f ca="1">IF(tbl_PLL[[#This Row],[BB_Mean]]="", "", tbl_PLL[[#This Row],[BB_Mean]]+(BB_Width*tbl_PLL[[#This Row],[BB_Stdev]]))</f>
        <v>39.088231442509382</v>
      </c>
      <c r="L61" s="10">
        <f ca="1">IF(tbl_PLL[[#This Row],[BB_Mean]]="", "", tbl_PLL[[#This Row],[BB_Mean]]-(BB_Width*tbl_PLL[[#This Row],[BB_Stdev]]))</f>
        <v>19.674625700347754</v>
      </c>
      <c r="M61" s="46">
        <f>IF(ROW(tbl_PLL[[#This Row],[Adj Close]])=5, 0, $F61-$F60)</f>
        <v>-2.1000000000000014</v>
      </c>
      <c r="N61" s="46">
        <f>MAX(tbl_PLL[[#This Row],[Move]],0)</f>
        <v>0</v>
      </c>
      <c r="O61" s="46">
        <f>MAX(-tbl_PLL[[#This Row],[Move]],0)</f>
        <v>2.1000000000000014</v>
      </c>
      <c r="P61" s="46">
        <f ca="1">IF(ROW($N61)-5&lt;RSI_Periods, "", AVERAGE(INDIRECT(ADDRESS(ROW($N61)-RSI_Periods +1, MATCH("Upmove", Price_Header,0))): INDIRECT(ADDRESS(ROW($N61),MATCH("Upmove", Price_Header,0)))))</f>
        <v>0.14071428571428563</v>
      </c>
      <c r="Q61" s="46">
        <f ca="1">IF(ROW($O61)-5&lt;RSI_Periods, "", AVERAGE(INDIRECT(ADDRESS(ROW($O61)-RSI_Periods +1, MATCH("Downmove", Price_Header,0))): INDIRECT(ADDRESS(ROW($O61),MATCH("Downmove", Price_Header,0)))))</f>
        <v>1.4014285714285715</v>
      </c>
      <c r="R61" s="46">
        <f ca="1">IF(tbl_PLL[[#This Row],[Avg_Upmove]]="", "", tbl_PLL[[#This Row],[Avg_Upmove]]/tbl_PLL[[#This Row],[Avg_Downmove]])</f>
        <v>0.10040774719673795</v>
      </c>
      <c r="S61" s="10">
        <f ca="1">IF(ROW($N61)-4&lt;BB_Periods, "", _xlfn.STDEV.S(INDIRECT(ADDRESS(ROW($F61)-RSI_Periods +1, MATCH("Adj Close", Price_Header,0))): INDIRECT(ADDRESS(ROW($F61),MATCH("Adj Close", Price_Header,0)))))</f>
        <v>4.8534014355404071</v>
      </c>
    </row>
    <row r="62" spans="1:19" x14ac:dyDescent="0.35">
      <c r="A62" s="8">
        <v>44133</v>
      </c>
      <c r="B62" s="10">
        <v>22.16</v>
      </c>
      <c r="C62" s="10">
        <v>24.01</v>
      </c>
      <c r="D62" s="10">
        <v>21.33</v>
      </c>
      <c r="E62" s="10">
        <v>21.63</v>
      </c>
      <c r="F62" s="10">
        <v>21.63</v>
      </c>
      <c r="G62">
        <v>850500</v>
      </c>
      <c r="H62" s="10">
        <f>IF(tbl_PLL[[#This Row],[Date]]=$A$5, $F62, EMA_Beta*$H61 + (1-EMA_Beta)*$F62)</f>
        <v>26.286142827655333</v>
      </c>
      <c r="I62" s="46">
        <f ca="1">IF(tbl_PLL[[#This Row],[RS]]= "", "", 100-(100/(1+tbl_PLL[[#This Row],[RS]])))</f>
        <v>9.8345588235294059</v>
      </c>
      <c r="J62" s="10">
        <f ca="1">IF(ROW($N62)-4&lt;BB_Periods, "", AVERAGE(INDIRECT(ADDRESS(ROW($F62)-RSI_Periods +1, MATCH("Adj Close", Price_Header,0))): INDIRECT(ADDRESS(ROW($F62),MATCH("Adj Close", Price_Header,0)))))</f>
        <v>28.132857142857141</v>
      </c>
      <c r="K62" s="10">
        <f ca="1">IF(tbl_PLL[[#This Row],[BB_Mean]]="", "", tbl_PLL[[#This Row],[BB_Mean]]+(BB_Width*tbl_PLL[[#This Row],[BB_Stdev]]))</f>
        <v>36.900561617703637</v>
      </c>
      <c r="L62" s="10">
        <f ca="1">IF(tbl_PLL[[#This Row],[BB_Mean]]="", "", tbl_PLL[[#This Row],[BB_Mean]]-(BB_Width*tbl_PLL[[#This Row],[BB_Stdev]]))</f>
        <v>19.365152668010644</v>
      </c>
      <c r="M62" s="46">
        <f>IF(ROW(tbl_PLL[[#This Row],[Adj Close]])=5, 0, $F62-$F61)</f>
        <v>0.42999999999999972</v>
      </c>
      <c r="N62" s="46">
        <f>MAX(tbl_PLL[[#This Row],[Move]],0)</f>
        <v>0.42999999999999972</v>
      </c>
      <c r="O62" s="46">
        <f>MAX(-tbl_PLL[[#This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0.15285714285714289</v>
      </c>
      <c r="Q62" s="46">
        <f ca="1">IF(ROW($O62)-5&lt;RSI_Periods, "", AVERAGE(INDIRECT(ADDRESS(ROW($O62)-RSI_Periods +1, MATCH("Downmove", Price_Header,0))): INDIRECT(ADDRESS(ROW($O62),MATCH("Downmove", Price_Header,0)))))</f>
        <v>1.4014285714285715</v>
      </c>
      <c r="R62" s="46">
        <f ca="1">IF(tbl_PLL[[#This Row],[Avg_Upmove]]="", "", tbl_PLL[[#This Row],[Avg_Upmove]]/tbl_PLL[[#This Row],[Avg_Downmove]])</f>
        <v>0.10907237512742102</v>
      </c>
      <c r="S62" s="10">
        <f ca="1">IF(ROW($N62)-4&lt;BB_Periods, "", _xlfn.STDEV.S(INDIRECT(ADDRESS(ROW($F62)-RSI_Periods +1, MATCH("Adj Close", Price_Header,0))): INDIRECT(ADDRESS(ROW($F62),MATCH("Adj Close", Price_Header,0)))))</f>
        <v>4.3838522374232483</v>
      </c>
    </row>
    <row r="63" spans="1:19" x14ac:dyDescent="0.35">
      <c r="A63" s="8">
        <v>44134</v>
      </c>
      <c r="B63" s="10">
        <v>21.85</v>
      </c>
      <c r="C63" s="10">
        <v>22.16</v>
      </c>
      <c r="D63" s="10">
        <v>19.38</v>
      </c>
      <c r="E63" s="10">
        <v>19.940000000000001</v>
      </c>
      <c r="F63" s="10">
        <v>19.940000000000001</v>
      </c>
      <c r="G63">
        <v>781300</v>
      </c>
      <c r="H63" s="10">
        <f>IF(tbl_PLL[[#This Row],[Date]]=$A$5, $F63, EMA_Beta*$H62 + (1-EMA_Beta)*$F63)</f>
        <v>25.6515285448898</v>
      </c>
      <c r="I63" s="46">
        <f ca="1">IF(tbl_PLL[[#This Row],[RS]]= "", "", 100-(100/(1+tbl_PLL[[#This Row],[RS]])))</f>
        <v>11.419423692636073</v>
      </c>
      <c r="J63" s="10">
        <f ca="1">IF(ROW($N63)-4&lt;BB_Periods, "", AVERAGE(INDIRECT(ADDRESS(ROW($F63)-RSI_Periods +1, MATCH("Adj Close", Price_Header,0))): INDIRECT(ADDRESS(ROW($F63),MATCH("Adj Close", Price_Header,0)))))</f>
        <v>27.099999999999998</v>
      </c>
      <c r="K63" s="10">
        <f ca="1">IF(tbl_PLL[[#This Row],[BB_Mean]]="", "", tbl_PLL[[#This Row],[BB_Mean]]+(BB_Width*tbl_PLL[[#This Row],[BB_Stdev]]))</f>
        <v>36.091394176142543</v>
      </c>
      <c r="L63" s="10">
        <f ca="1">IF(tbl_PLL[[#This Row],[BB_Mean]]="", "", tbl_PLL[[#This Row],[BB_Mean]]-(BB_Width*tbl_PLL[[#This Row],[BB_Stdev]]))</f>
        <v>18.108605823857452</v>
      </c>
      <c r="M63" s="46">
        <f>IF(ROW(tbl_PLL[[#This Row],[Adj Close]])=5, 0, $F63-$F62)</f>
        <v>-1.6899999999999977</v>
      </c>
      <c r="N63" s="46">
        <f>MAX(tbl_PLL[[#This Row],[Move]],0)</f>
        <v>0</v>
      </c>
      <c r="O63" s="46">
        <f>MAX(-tbl_PLL[[#This Row],[Move]],0)</f>
        <v>1.6899999999999977</v>
      </c>
      <c r="P63" s="46">
        <f ca="1">IF(ROW($N63)-5&lt;RSI_Periods, "", AVERAGE(INDIRECT(ADDRESS(ROW($N63)-RSI_Periods +1, MATCH("Upmove", Price_Header,0))): INDIRECT(ADDRESS(ROW($N63),MATCH("Upmove", Price_Header,0)))))</f>
        <v>0.15285714285714289</v>
      </c>
      <c r="Q63" s="46">
        <f ca="1">IF(ROW($O63)-5&lt;RSI_Periods, "", AVERAGE(INDIRECT(ADDRESS(ROW($O63)-RSI_Periods +1, MATCH("Downmove", Price_Header,0))): INDIRECT(ADDRESS(ROW($O63),MATCH("Downmove", Price_Header,0)))))</f>
        <v>1.1857142857142855</v>
      </c>
      <c r="R63" s="46">
        <f ca="1">IF(tbl_PLL[[#This Row],[Avg_Upmove]]="", "", tbl_PLL[[#This Row],[Avg_Upmove]]/tbl_PLL[[#This Row],[Avg_Downmove]])</f>
        <v>0.12891566265060245</v>
      </c>
      <c r="S63" s="10">
        <f ca="1">IF(ROW($N63)-4&lt;BB_Periods, "", _xlfn.STDEV.S(INDIRECT(ADDRESS(ROW($F63)-RSI_Periods +1, MATCH("Adj Close", Price_Header,0))): INDIRECT(ADDRESS(ROW($F63),MATCH("Adj Close", Price_Header,0)))))</f>
        <v>4.4956970880712719</v>
      </c>
    </row>
    <row r="64" spans="1:19" x14ac:dyDescent="0.35">
      <c r="A64" s="8">
        <v>44137</v>
      </c>
      <c r="B64" s="10">
        <v>20.22</v>
      </c>
      <c r="C64" s="10">
        <v>22.25</v>
      </c>
      <c r="D64" s="10">
        <v>20.22</v>
      </c>
      <c r="E64" s="10">
        <v>20.97</v>
      </c>
      <c r="F64" s="10">
        <v>20.97</v>
      </c>
      <c r="G64">
        <v>733000</v>
      </c>
      <c r="H64" s="10">
        <f>IF(tbl_PLL[[#This Row],[Date]]=$A$5, $F64, EMA_Beta*$H63 + (1-EMA_Beta)*$F64)</f>
        <v>25.183375690400823</v>
      </c>
      <c r="I64" s="46">
        <f ca="1">IF(tbl_PLL[[#This Row],[RS]]= "", "", 100-(100/(1+tbl_PLL[[#This Row],[RS]])))</f>
        <v>18.249856073690253</v>
      </c>
      <c r="J64" s="10">
        <f ca="1">IF(ROW($N64)-4&lt;BB_Periods, "", AVERAGE(INDIRECT(ADDRESS(ROW($F64)-RSI_Periods +1, MATCH("Adj Close", Price_Header,0))): INDIRECT(ADDRESS(ROW($F64),MATCH("Adj Close", Price_Header,0)))))</f>
        <v>26.312142857142856</v>
      </c>
      <c r="K64" s="10">
        <f ca="1">IF(tbl_PLL[[#This Row],[BB_Mean]]="", "", tbl_PLL[[#This Row],[BB_Mean]]+(BB_Width*tbl_PLL[[#This Row],[BB_Stdev]]))</f>
        <v>35.386597885734673</v>
      </c>
      <c r="L64" s="10">
        <f ca="1">IF(tbl_PLL[[#This Row],[BB_Mean]]="", "", tbl_PLL[[#This Row],[BB_Mean]]-(BB_Width*tbl_PLL[[#This Row],[BB_Stdev]]))</f>
        <v>17.237687828551039</v>
      </c>
      <c r="M64" s="46">
        <f>IF(ROW(tbl_PLL[[#This Row],[Adj Close]])=5, 0, $F64-$F63)</f>
        <v>1.0299999999999976</v>
      </c>
      <c r="N64" s="46">
        <f>MAX(tbl_PLL[[#This Row],[Move]],0)</f>
        <v>1.0299999999999976</v>
      </c>
      <c r="O64" s="46">
        <f>MAX(-tbl_PLL[[#This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0.22642857142857128</v>
      </c>
      <c r="Q64" s="46">
        <f ca="1">IF(ROW($O64)-5&lt;RSI_Periods, "", AVERAGE(INDIRECT(ADDRESS(ROW($O64)-RSI_Periods +1, MATCH("Downmove", Price_Header,0))): INDIRECT(ADDRESS(ROW($O64),MATCH("Downmove", Price_Header,0)))))</f>
        <v>1.0142857142857142</v>
      </c>
      <c r="R64" s="46">
        <f ca="1">IF(tbl_PLL[[#This Row],[Avg_Upmove]]="", "", tbl_PLL[[#This Row],[Avg_Upmove]]/tbl_PLL[[#This Row],[Avg_Downmove]])</f>
        <v>0.22323943661971818</v>
      </c>
      <c r="S64" s="10">
        <f ca="1">IF(ROW($N64)-4&lt;BB_Periods, "", _xlfn.STDEV.S(INDIRECT(ADDRESS(ROW($F64)-RSI_Periods +1, MATCH("Adj Close", Price_Header,0))): INDIRECT(ADDRESS(ROW($F64),MATCH("Adj Close", Price_Header,0)))))</f>
        <v>4.5372275142959086</v>
      </c>
    </row>
    <row r="65" spans="1:19" x14ac:dyDescent="0.35">
      <c r="A65" s="8">
        <v>44138</v>
      </c>
      <c r="B65" s="10">
        <v>23.7</v>
      </c>
      <c r="C65" s="10">
        <v>25.46</v>
      </c>
      <c r="D65" s="10">
        <v>21.71</v>
      </c>
      <c r="E65" s="10">
        <v>23.88</v>
      </c>
      <c r="F65" s="10">
        <v>23.88</v>
      </c>
      <c r="G65">
        <v>1756000</v>
      </c>
      <c r="H65" s="10">
        <f>IF(tbl_PLL[[#This Row],[Date]]=$A$5, $F65, EMA_Beta*$H64 + (1-EMA_Beta)*$F65)</f>
        <v>25.053038121360739</v>
      </c>
      <c r="I65" s="46">
        <f ca="1">IF(tbl_PLL[[#This Row],[RS]]= "", "", 100-(100/(1+tbl_PLL[[#This Row],[RS]])))</f>
        <v>23.532579429186839</v>
      </c>
      <c r="J65" s="10">
        <f ca="1">IF(ROW($N65)-4&lt;BB_Periods, "", AVERAGE(INDIRECT(ADDRESS(ROW($F65)-RSI_Periods +1, MATCH("Adj Close", Price_Header,0))): INDIRECT(ADDRESS(ROW($F65),MATCH("Adj Close", Price_Header,0)))))</f>
        <v>25.609999999999996</v>
      </c>
      <c r="K65" s="10">
        <f ca="1">IF(tbl_PLL[[#This Row],[BB_Mean]]="", "", tbl_PLL[[#This Row],[BB_Mean]]+(BB_Width*tbl_PLL[[#This Row],[BB_Stdev]]))</f>
        <v>33.684815549215159</v>
      </c>
      <c r="L65" s="10">
        <f ca="1">IF(tbl_PLL[[#This Row],[BB_Mean]]="", "", tbl_PLL[[#This Row],[BB_Mean]]-(BB_Width*tbl_PLL[[#This Row],[BB_Stdev]]))</f>
        <v>17.535184450784836</v>
      </c>
      <c r="M65" s="46">
        <f>IF(ROW(tbl_PLL[[#This Row],[Adj Close]])=5, 0, $F65-$F64)</f>
        <v>2.91</v>
      </c>
      <c r="N65" s="46">
        <f>MAX(tbl_PLL[[#This Row],[Move]],0)</f>
        <v>2.91</v>
      </c>
      <c r="O65" s="46">
        <f>MAX(-tbl_PLL[[#This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0.31214285714285694</v>
      </c>
      <c r="Q65" s="46">
        <f ca="1">IF(ROW($O65)-5&lt;RSI_Periods, "", AVERAGE(INDIRECT(ADDRESS(ROW($O65)-RSI_Periods +1, MATCH("Downmove", Price_Header,0))): INDIRECT(ADDRESS(ROW($O65),MATCH("Downmove", Price_Header,0)))))</f>
        <v>1.0142857142857142</v>
      </c>
      <c r="R65" s="46">
        <f ca="1">IF(tbl_PLL[[#This Row],[Avg_Upmove]]="", "", tbl_PLL[[#This Row],[Avg_Upmove]]/tbl_PLL[[#This Row],[Avg_Downmove]])</f>
        <v>0.30774647887323925</v>
      </c>
      <c r="S65" s="10">
        <f ca="1">IF(ROW($N65)-4&lt;BB_Periods, "", _xlfn.STDEV.S(INDIRECT(ADDRESS(ROW($F65)-RSI_Periods +1, MATCH("Adj Close", Price_Header,0))): INDIRECT(ADDRESS(ROW($F65),MATCH("Adj Close", Price_Header,0)))))</f>
        <v>4.0374077746075798</v>
      </c>
    </row>
    <row r="66" spans="1:19" x14ac:dyDescent="0.35">
      <c r="A66" s="8">
        <v>44139</v>
      </c>
      <c r="B66" s="10">
        <v>25.29</v>
      </c>
      <c r="C66" s="10">
        <v>25.6</v>
      </c>
      <c r="D66" s="10">
        <v>22.15</v>
      </c>
      <c r="E66" s="10">
        <v>22.45</v>
      </c>
      <c r="F66" s="10">
        <v>22.45</v>
      </c>
      <c r="G66">
        <v>982200</v>
      </c>
      <c r="H66" s="10">
        <f>IF(tbl_PLL[[#This Row],[Date]]=$A$5, $F66, EMA_Beta*$H65 + (1-EMA_Beta)*$F66)</f>
        <v>24.792734309224663</v>
      </c>
      <c r="I66" s="46">
        <f ca="1">IF(tbl_PLL[[#This Row],[RS]]= "", "", 100-(100/(1+tbl_PLL[[#This Row],[RS]])))</f>
        <v>22.891566265060234</v>
      </c>
      <c r="J66" s="10">
        <f ca="1">IF(ROW($N66)-4&lt;BB_Periods, "", AVERAGE(INDIRECT(ADDRESS(ROW($F66)-RSI_Periods +1, MATCH("Adj Close", Price_Header,0))): INDIRECT(ADDRESS(ROW($F66),MATCH("Adj Close", Price_Header,0)))))</f>
        <v>24.870714285714286</v>
      </c>
      <c r="K66" s="10">
        <f ca="1">IF(tbl_PLL[[#This Row],[BB_Mean]]="", "", tbl_PLL[[#This Row],[BB_Mean]]+(BB_Width*tbl_PLL[[#This Row],[BB_Stdev]]))</f>
        <v>31.942793576453731</v>
      </c>
      <c r="L66" s="10">
        <f ca="1">IF(tbl_PLL[[#This Row],[BB_Mean]]="", "", tbl_PLL[[#This Row],[BB_Mean]]-(BB_Width*tbl_PLL[[#This Row],[BB_Stdev]]))</f>
        <v>17.79863499497484</v>
      </c>
      <c r="M66" s="46">
        <f>IF(ROW(tbl_PLL[[#This Row],[Adj Close]])=5, 0, $F66-$F65)</f>
        <v>-1.4299999999999997</v>
      </c>
      <c r="N66" s="46">
        <f>MAX(tbl_PLL[[#This Row],[Move]],0)</f>
        <v>0</v>
      </c>
      <c r="O66" s="46">
        <f>MAX(-tbl_PLL[[#This Row],[Move]],0)</f>
        <v>1.4299999999999997</v>
      </c>
      <c r="P66" s="46">
        <f ca="1">IF(ROW($N66)-5&lt;RSI_Periods, "", AVERAGE(INDIRECT(ADDRESS(ROW($N66)-RSI_Periods +1, MATCH("Upmove", Price_Header,0))): INDIRECT(ADDRESS(ROW($N66),MATCH("Upmove", Price_Header,0)))))</f>
        <v>0.31214285714285694</v>
      </c>
      <c r="Q66" s="46">
        <f ca="1">IF(ROW($O66)-5&lt;RSI_Periods, "", AVERAGE(INDIRECT(ADDRESS(ROW($O66)-RSI_Periods +1, MATCH("Downmove", Price_Header,0))): INDIRECT(ADDRESS(ROW($O66),MATCH("Downmove", Price_Header,0)))))</f>
        <v>1.0514285714285712</v>
      </c>
      <c r="R66" s="46">
        <f ca="1">IF(tbl_PLL[[#This Row],[Avg_Upmove]]="", "", tbl_PLL[[#This Row],[Avg_Upmove]]/tbl_PLL[[#This Row],[Avg_Downmove]])</f>
        <v>0.29687499999999989</v>
      </c>
      <c r="S66" s="10">
        <f ca="1">IF(ROW($N66)-4&lt;BB_Periods, "", _xlfn.STDEV.S(INDIRECT(ADDRESS(ROW($F66)-RSI_Periods +1, MATCH("Adj Close", Price_Header,0))): INDIRECT(ADDRESS(ROW($F66),MATCH("Adj Close", Price_Header,0)))))</f>
        <v>3.5360396453697232</v>
      </c>
    </row>
    <row r="67" spans="1:19" x14ac:dyDescent="0.35">
      <c r="A67" s="8">
        <v>44140</v>
      </c>
      <c r="B67" s="10">
        <v>23</v>
      </c>
      <c r="C67" s="10">
        <v>24.85</v>
      </c>
      <c r="D67" s="10">
        <v>22.65</v>
      </c>
      <c r="E67" s="10">
        <v>24.3</v>
      </c>
      <c r="F67" s="10">
        <v>24.3</v>
      </c>
      <c r="G67">
        <v>1174800</v>
      </c>
      <c r="H67" s="10">
        <f>IF(tbl_PLL[[#This Row],[Date]]=$A$5, $F67, EMA_Beta*$H66 + (1-EMA_Beta)*$F67)</f>
        <v>24.743460878302198</v>
      </c>
      <c r="I67" s="46">
        <f ca="1">IF(tbl_PLL[[#This Row],[RS]]= "", "", 100-(100/(1+tbl_PLL[[#This Row],[RS]])))</f>
        <v>34.026258205689274</v>
      </c>
      <c r="J67" s="10">
        <f ca="1">IF(ROW($N67)-4&lt;BB_Periods, "", AVERAGE(INDIRECT(ADDRESS(ROW($F67)-RSI_Periods +1, MATCH("Adj Close", Price_Header,0))): INDIRECT(ADDRESS(ROW($F67),MATCH("Adj Close", Price_Header,0)))))</f>
        <v>24.453571428571426</v>
      </c>
      <c r="K67" s="10">
        <f ca="1">IF(tbl_PLL[[#This Row],[BB_Mean]]="", "", tbl_PLL[[#This Row],[BB_Mean]]+(BB_Width*tbl_PLL[[#This Row],[BB_Stdev]]))</f>
        <v>30.84276233506035</v>
      </c>
      <c r="L67" s="10">
        <f ca="1">IF(tbl_PLL[[#This Row],[BB_Mean]]="", "", tbl_PLL[[#This Row],[BB_Mean]]-(BB_Width*tbl_PLL[[#This Row],[BB_Stdev]]))</f>
        <v>18.064380522082502</v>
      </c>
      <c r="M67" s="46">
        <f>IF(ROW(tbl_PLL[[#This Row],[Adj Close]])=5, 0, $F67-$F66)</f>
        <v>1.8500000000000014</v>
      </c>
      <c r="N67" s="46">
        <f>MAX(tbl_PLL[[#This Row],[Move]],0)</f>
        <v>1.8500000000000014</v>
      </c>
      <c r="O67" s="46">
        <f>MAX(-tbl_PLL[[#This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0.44428571428571423</v>
      </c>
      <c r="Q67" s="46">
        <f ca="1">IF(ROW($O67)-5&lt;RSI_Periods, "", AVERAGE(INDIRECT(ADDRESS(ROW($O67)-RSI_Periods +1, MATCH("Downmove", Price_Header,0))): INDIRECT(ADDRESS(ROW($O67),MATCH("Downmove", Price_Header,0)))))</f>
        <v>0.86142857142857132</v>
      </c>
      <c r="R67" s="46">
        <f ca="1">IF(tbl_PLL[[#This Row],[Avg_Upmove]]="", "", tbl_PLL[[#This Row],[Avg_Upmove]]/tbl_PLL[[#This Row],[Avg_Downmove]])</f>
        <v>0.51575456053067992</v>
      </c>
      <c r="S67" s="10">
        <f ca="1">IF(ROW($N67)-4&lt;BB_Periods, "", _xlfn.STDEV.S(INDIRECT(ADDRESS(ROW($F67)-RSI_Periods +1, MATCH("Adj Close", Price_Header,0))): INDIRECT(ADDRESS(ROW($F67),MATCH("Adj Close", Price_Header,0)))))</f>
        <v>3.1945954532444625</v>
      </c>
    </row>
    <row r="68" spans="1:19" x14ac:dyDescent="0.35">
      <c r="A68" s="8">
        <v>44141</v>
      </c>
      <c r="B68" s="10">
        <v>24.9</v>
      </c>
      <c r="C68" s="10">
        <v>24.99</v>
      </c>
      <c r="D68" s="10">
        <v>22.16</v>
      </c>
      <c r="E68" s="10">
        <v>22.51</v>
      </c>
      <c r="F68" s="10">
        <v>22.51</v>
      </c>
      <c r="G68">
        <v>788700</v>
      </c>
      <c r="H68" s="10">
        <f>IF(tbl_PLL[[#This Row],[Date]]=$A$5, $F68, EMA_Beta*$H67 + (1-EMA_Beta)*$F68)</f>
        <v>24.520114790471979</v>
      </c>
      <c r="I68" s="46">
        <f ca="1">IF(tbl_PLL[[#This Row],[RS]]= "", "", 100-(100/(1+tbl_PLL[[#This Row],[RS]])))</f>
        <v>32.514375326711971</v>
      </c>
      <c r="J68" s="10">
        <f ca="1">IF(ROW($N68)-4&lt;BB_Periods, "", AVERAGE(INDIRECT(ADDRESS(ROW($F68)-RSI_Periods +1, MATCH("Adj Close", Price_Header,0))): INDIRECT(ADDRESS(ROW($F68),MATCH("Adj Close", Price_Header,0)))))</f>
        <v>23.975714285714282</v>
      </c>
      <c r="K68" s="10">
        <f ca="1">IF(tbl_PLL[[#This Row],[BB_Mean]]="", "", tbl_PLL[[#This Row],[BB_Mean]]+(BB_Width*tbl_PLL[[#This Row],[BB_Stdev]]))</f>
        <v>29.812540158030192</v>
      </c>
      <c r="L68" s="10">
        <f ca="1">IF(tbl_PLL[[#This Row],[BB_Mean]]="", "", tbl_PLL[[#This Row],[BB_Mean]]-(BB_Width*tbl_PLL[[#This Row],[BB_Stdev]]))</f>
        <v>18.138888413398373</v>
      </c>
      <c r="M68" s="46">
        <f>IF(ROW(tbl_PLL[[#This Row],[Adj Close]])=5, 0, $F68-$F67)</f>
        <v>-1.7899999999999991</v>
      </c>
      <c r="N68" s="46">
        <f>MAX(tbl_PLL[[#This Row],[Move]],0)</f>
        <v>0</v>
      </c>
      <c r="O68" s="46">
        <f>MAX(-tbl_PLL[[#This Row],[Move]],0)</f>
        <v>1.7899999999999991</v>
      </c>
      <c r="P68" s="46">
        <f ca="1">IF(ROW($N68)-5&lt;RSI_Periods, "", AVERAGE(INDIRECT(ADDRESS(ROW($N68)-RSI_Periods +1, MATCH("Upmove", Price_Header,0))): INDIRECT(ADDRESS(ROW($N68),MATCH("Upmove", Price_Header,0)))))</f>
        <v>0.44428571428571423</v>
      </c>
      <c r="Q68" s="46">
        <f ca="1">IF(ROW($O68)-5&lt;RSI_Periods, "", AVERAGE(INDIRECT(ADDRESS(ROW($O68)-RSI_Periods +1, MATCH("Downmove", Price_Header,0))): INDIRECT(ADDRESS(ROW($O68),MATCH("Downmove", Price_Header,0)))))</f>
        <v>0.92214285714285693</v>
      </c>
      <c r="R68" s="46">
        <f ca="1">IF(tbl_PLL[[#This Row],[Avg_Upmove]]="", "", tbl_PLL[[#This Row],[Avg_Upmove]]/tbl_PLL[[#This Row],[Avg_Downmove]])</f>
        <v>0.48179705654531374</v>
      </c>
      <c r="S68" s="10">
        <f ca="1">IF(ROW($N68)-4&lt;BB_Periods, "", _xlfn.STDEV.S(INDIRECT(ADDRESS(ROW($F68)-RSI_Periods +1, MATCH("Adj Close", Price_Header,0))): INDIRECT(ADDRESS(ROW($F68),MATCH("Adj Close", Price_Header,0)))))</f>
        <v>2.9184129361579543</v>
      </c>
    </row>
    <row r="69" spans="1:19" x14ac:dyDescent="0.35">
      <c r="A69" s="8">
        <v>44144</v>
      </c>
      <c r="B69" s="10">
        <v>24.6</v>
      </c>
      <c r="C69" s="10">
        <v>24.74</v>
      </c>
      <c r="D69" s="10">
        <v>22.25</v>
      </c>
      <c r="E69" s="10">
        <v>22.81</v>
      </c>
      <c r="F69" s="10">
        <v>22.81</v>
      </c>
      <c r="G69">
        <v>1137800</v>
      </c>
      <c r="H69" s="10">
        <f>IF(tbl_PLL[[#This Row],[Date]]=$A$5, $F69, EMA_Beta*$H68 + (1-EMA_Beta)*$F69)</f>
        <v>24.349103311424781</v>
      </c>
      <c r="I69" s="46">
        <f ca="1">IF(tbl_PLL[[#This Row],[RS]]= "", "", 100-(100/(1+tbl_PLL[[#This Row],[RS]])))</f>
        <v>33.556356150283065</v>
      </c>
      <c r="J69" s="10">
        <f ca="1">IF(ROW($N69)-4&lt;BB_Periods, "", AVERAGE(INDIRECT(ADDRESS(ROW($F69)-RSI_Periods +1, MATCH("Adj Close", Price_Header,0))): INDIRECT(ADDRESS(ROW($F69),MATCH("Adj Close", Price_Header,0)))))</f>
        <v>23.519285714285711</v>
      </c>
      <c r="K69" s="10">
        <f ca="1">IF(tbl_PLL[[#This Row],[BB_Mean]]="", "", tbl_PLL[[#This Row],[BB_Mean]]+(BB_Width*tbl_PLL[[#This Row],[BB_Stdev]]))</f>
        <v>28.538384403129339</v>
      </c>
      <c r="L69" s="10">
        <f ca="1">IF(tbl_PLL[[#This Row],[BB_Mean]]="", "", tbl_PLL[[#This Row],[BB_Mean]]-(BB_Width*tbl_PLL[[#This Row],[BB_Stdev]]))</f>
        <v>18.500187025442084</v>
      </c>
      <c r="M69" s="46">
        <f>IF(ROW(tbl_PLL[[#This Row],[Adj Close]])=5, 0, $F69-$F68)</f>
        <v>0.29999999999999716</v>
      </c>
      <c r="N69" s="46">
        <f>MAX(tbl_PLL[[#This Row],[Move]],0)</f>
        <v>0.29999999999999716</v>
      </c>
      <c r="O69" s="46">
        <f>MAX(-tbl_PLL[[#This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0.46571428571428541</v>
      </c>
      <c r="Q69" s="46">
        <f ca="1">IF(ROW($O69)-5&lt;RSI_Periods, "", AVERAGE(INDIRECT(ADDRESS(ROW($O69)-RSI_Periods +1, MATCH("Downmove", Price_Header,0))): INDIRECT(ADDRESS(ROW($O69),MATCH("Downmove", Price_Header,0)))))</f>
        <v>0.92214285714285693</v>
      </c>
      <c r="R69" s="46">
        <f ca="1">IF(tbl_PLL[[#This Row],[Avg_Upmove]]="", "", tbl_PLL[[#This Row],[Avg_Upmove]]/tbl_PLL[[#This Row],[Avg_Downmove]])</f>
        <v>0.50503485670023218</v>
      </c>
      <c r="S69" s="10">
        <f ca="1">IF(ROW($N69)-4&lt;BB_Periods, "", _xlfn.STDEV.S(INDIRECT(ADDRESS(ROW($F69)-RSI_Periods +1, MATCH("Adj Close", Price_Header,0))): INDIRECT(ADDRESS(ROW($F69),MATCH("Adj Close", Price_Header,0)))))</f>
        <v>2.5095493444218135</v>
      </c>
    </row>
    <row r="70" spans="1:19" x14ac:dyDescent="0.35">
      <c r="A70" s="8">
        <v>44145</v>
      </c>
      <c r="B70" s="10">
        <v>23.04</v>
      </c>
      <c r="C70" s="10">
        <v>24.11</v>
      </c>
      <c r="D70" s="10">
        <v>22.1</v>
      </c>
      <c r="E70" s="10">
        <v>23.78</v>
      </c>
      <c r="F70" s="10">
        <v>23.78</v>
      </c>
      <c r="G70">
        <v>1154700</v>
      </c>
      <c r="H70" s="10">
        <f>IF(tbl_PLL[[#This Row],[Date]]=$A$5, $F70, EMA_Beta*$H69 + (1-EMA_Beta)*$F70)</f>
        <v>24.292192980282302</v>
      </c>
      <c r="I70" s="46">
        <f ca="1">IF(tbl_PLL[[#This Row],[RS]]= "", "", 100-(100/(1+tbl_PLL[[#This Row],[RS]])))</f>
        <v>36.7156862745098</v>
      </c>
      <c r="J70" s="10">
        <f ca="1">IF(ROW($N70)-4&lt;BB_Periods, "", AVERAGE(INDIRECT(ADDRESS(ROW($F70)-RSI_Periods +1, MATCH("Adj Close", Price_Header,0))): INDIRECT(ADDRESS(ROW($F70),MATCH("Adj Close", Price_Header,0)))))</f>
        <v>23.13214285714286</v>
      </c>
      <c r="K70" s="10">
        <f ca="1">IF(tbl_PLL[[#This Row],[BB_Mean]]="", "", tbl_PLL[[#This Row],[BB_Mean]]+(BB_Width*tbl_PLL[[#This Row],[BB_Stdev]]))</f>
        <v>26.958007695090192</v>
      </c>
      <c r="L70" s="10">
        <f ca="1">IF(tbl_PLL[[#This Row],[BB_Mean]]="", "", tbl_PLL[[#This Row],[BB_Mean]]-(BB_Width*tbl_PLL[[#This Row],[BB_Stdev]]))</f>
        <v>19.306278019195528</v>
      </c>
      <c r="M70" s="46">
        <f>IF(ROW(tbl_PLL[[#This Row],[Adj Close]])=5, 0, $F70-$F69)</f>
        <v>0.97000000000000242</v>
      </c>
      <c r="N70" s="46">
        <f>MAX(tbl_PLL[[#This Row],[Move]],0)</f>
        <v>0.97000000000000242</v>
      </c>
      <c r="O70" s="46">
        <f>MAX(-tbl_PLL[[#This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0.53499999999999992</v>
      </c>
      <c r="Q70" s="46">
        <f ca="1">IF(ROW($O70)-5&lt;RSI_Periods, "", AVERAGE(INDIRECT(ADDRESS(ROW($O70)-RSI_Periods +1, MATCH("Downmove", Price_Header,0))): INDIRECT(ADDRESS(ROW($O70),MATCH("Downmove", Price_Header,0)))))</f>
        <v>0.92214285714285693</v>
      </c>
      <c r="R70" s="46">
        <f ca="1">IF(tbl_PLL[[#This Row],[Avg_Upmove]]="", "", tbl_PLL[[#This Row],[Avg_Upmove]]/tbl_PLL[[#This Row],[Avg_Downmove]])</f>
        <v>0.58017041053446949</v>
      </c>
      <c r="S70" s="10">
        <f ca="1">IF(ROW($N70)-4&lt;BB_Periods, "", _xlfn.STDEV.S(INDIRECT(ADDRESS(ROW($F70)-RSI_Periods +1, MATCH("Adj Close", Price_Header,0))): INDIRECT(ADDRESS(ROW($F70),MATCH("Adj Close", Price_Header,0)))))</f>
        <v>1.9129324189736658</v>
      </c>
    </row>
    <row r="71" spans="1:19" x14ac:dyDescent="0.35">
      <c r="A71" s="8">
        <v>44146</v>
      </c>
      <c r="B71" s="10">
        <v>23.97</v>
      </c>
      <c r="C71" s="10">
        <v>25.15</v>
      </c>
      <c r="D71" s="10">
        <v>22.88</v>
      </c>
      <c r="E71" s="10">
        <v>24.44</v>
      </c>
      <c r="F71" s="10">
        <v>24.44</v>
      </c>
      <c r="G71">
        <v>1741100</v>
      </c>
      <c r="H71" s="10">
        <f>IF(tbl_PLL[[#This Row],[Date]]=$A$5, $F71, EMA_Beta*$H70 + (1-EMA_Beta)*$F71)</f>
        <v>24.306973682254071</v>
      </c>
      <c r="I71" s="46">
        <f ca="1">IF(tbl_PLL[[#This Row],[RS]]= "", "", 100-(100/(1+tbl_PLL[[#This Row],[RS]])))</f>
        <v>43.190249072602015</v>
      </c>
      <c r="J71" s="10">
        <f ca="1">IF(ROW($N71)-4&lt;BB_Periods, "", AVERAGE(INDIRECT(ADDRESS(ROW($F71)-RSI_Periods +1, MATCH("Adj Close", Price_Header,0))): INDIRECT(ADDRESS(ROW($F71),MATCH("Adj Close", Price_Header,0)))))</f>
        <v>22.94857142857143</v>
      </c>
      <c r="K71" s="10">
        <f ca="1">IF(tbl_PLL[[#This Row],[BB_Mean]]="", "", tbl_PLL[[#This Row],[BB_Mean]]+(BB_Width*tbl_PLL[[#This Row],[BB_Stdev]]))</f>
        <v>26.172137128875338</v>
      </c>
      <c r="L71" s="10">
        <f ca="1">IF(tbl_PLL[[#This Row],[BB_Mean]]="", "", tbl_PLL[[#This Row],[BB_Mean]]-(BB_Width*tbl_PLL[[#This Row],[BB_Stdev]]))</f>
        <v>19.725005728267522</v>
      </c>
      <c r="M71" s="46">
        <f>IF(ROW(tbl_PLL[[#This Row],[Adj Close]])=5, 0, $F71-$F70)</f>
        <v>0.66000000000000014</v>
      </c>
      <c r="N71" s="46">
        <f>MAX(tbl_PLL[[#This Row],[Move]],0)</f>
        <v>0.66000000000000014</v>
      </c>
      <c r="O71" s="46">
        <f>MAX(-tbl_PLL[[#This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0.58214285714285707</v>
      </c>
      <c r="Q71" s="46">
        <f ca="1">IF(ROW($O71)-5&lt;RSI_Periods, "", AVERAGE(INDIRECT(ADDRESS(ROW($O71)-RSI_Periods +1, MATCH("Downmove", Price_Header,0))): INDIRECT(ADDRESS(ROW($O71),MATCH("Downmove", Price_Header,0)))))</f>
        <v>0.76571428571428568</v>
      </c>
      <c r="R71" s="46">
        <f ca="1">IF(tbl_PLL[[#This Row],[Avg_Upmove]]="", "", tbl_PLL[[#This Row],[Avg_Upmove]]/tbl_PLL[[#This Row],[Avg_Downmove]])</f>
        <v>0.76026119402985071</v>
      </c>
      <c r="S71" s="10">
        <f ca="1">IF(ROW($N71)-4&lt;BB_Periods, "", _xlfn.STDEV.S(INDIRECT(ADDRESS(ROW($F71)-RSI_Periods +1, MATCH("Adj Close", Price_Header,0))): INDIRECT(ADDRESS(ROW($F71),MATCH("Adj Close", Price_Header,0)))))</f>
        <v>1.6117828501519544</v>
      </c>
    </row>
    <row r="72" spans="1:19" x14ac:dyDescent="0.35">
      <c r="A72" s="8">
        <v>44147</v>
      </c>
      <c r="B72" s="10">
        <v>24</v>
      </c>
      <c r="C72" s="10">
        <v>28.7</v>
      </c>
      <c r="D72" s="10">
        <v>23.82</v>
      </c>
      <c r="E72" s="10">
        <v>26.4</v>
      </c>
      <c r="F72" s="10">
        <v>26.4</v>
      </c>
      <c r="G72">
        <v>3887200</v>
      </c>
      <c r="H72" s="10">
        <f>IF(tbl_PLL[[#This Row],[Date]]=$A$5, $F72, EMA_Beta*$H71 + (1-EMA_Beta)*$F72)</f>
        <v>24.516276314028666</v>
      </c>
      <c r="I72" s="46">
        <f ca="1">IF(tbl_PLL[[#This Row],[RS]]= "", "", 100-(100/(1+tbl_PLL[[#This Row],[RS]])))</f>
        <v>51.581632653061213</v>
      </c>
      <c r="J72" s="10">
        <f ca="1">IF(ROW($N72)-4&lt;BB_Periods, "", AVERAGE(INDIRECT(ADDRESS(ROW($F72)-RSI_Periods +1, MATCH("Adj Close", Price_Header,0))): INDIRECT(ADDRESS(ROW($F72),MATCH("Adj Close", Price_Header,0)))))</f>
        <v>22.992857142857137</v>
      </c>
      <c r="K72" s="10">
        <f ca="1">IF(tbl_PLL[[#This Row],[BB_Mean]]="", "", tbl_PLL[[#This Row],[BB_Mean]]+(BB_Width*tbl_PLL[[#This Row],[BB_Stdev]]))</f>
        <v>26.396017923176412</v>
      </c>
      <c r="L72" s="10">
        <f ca="1">IF(tbl_PLL[[#This Row],[BB_Mean]]="", "", tbl_PLL[[#This Row],[BB_Mean]]-(BB_Width*tbl_PLL[[#This Row],[BB_Stdev]]))</f>
        <v>19.589696362537861</v>
      </c>
      <c r="M72" s="46">
        <f>IF(ROW(tbl_PLL[[#This Row],[Adj Close]])=5, 0, $F72-$F71)</f>
        <v>1.9599999999999973</v>
      </c>
      <c r="N72" s="46">
        <f>MAX(tbl_PLL[[#This Row],[Move]],0)</f>
        <v>1.9599999999999973</v>
      </c>
      <c r="O72" s="46">
        <f>MAX(-tbl_PLL[[#This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0.72214285714285686</v>
      </c>
      <c r="Q72" s="46">
        <f ca="1">IF(ROW($O72)-5&lt;RSI_Periods, "", AVERAGE(INDIRECT(ADDRESS(ROW($O72)-RSI_Periods +1, MATCH("Downmove", Price_Header,0))): INDIRECT(ADDRESS(ROW($O72),MATCH("Downmove", Price_Header,0)))))</f>
        <v>0.67785714285714271</v>
      </c>
      <c r="R72" s="46">
        <f ca="1">IF(tbl_PLL[[#This Row],[Avg_Upmove]]="", "", tbl_PLL[[#This Row],[Avg_Upmove]]/tbl_PLL[[#This Row],[Avg_Downmove]])</f>
        <v>1.0653319283456268</v>
      </c>
      <c r="S72" s="10">
        <f ca="1">IF(ROW($N72)-4&lt;BB_Periods, "", _xlfn.STDEV.S(INDIRECT(ADDRESS(ROW($F72)-RSI_Periods +1, MATCH("Adj Close", Price_Header,0))): INDIRECT(ADDRESS(ROW($F72),MATCH("Adj Close", Price_Header,0)))))</f>
        <v>1.7015803901596374</v>
      </c>
    </row>
    <row r="73" spans="1:19" x14ac:dyDescent="0.35">
      <c r="A73" s="8">
        <v>44148</v>
      </c>
      <c r="B73" s="10">
        <v>27.19</v>
      </c>
      <c r="C73" s="10">
        <v>29.6</v>
      </c>
      <c r="D73" s="10">
        <v>25.57</v>
      </c>
      <c r="E73" s="10">
        <v>26.72</v>
      </c>
      <c r="F73" s="10">
        <v>26.72</v>
      </c>
      <c r="G73">
        <v>2196800</v>
      </c>
      <c r="H73" s="10">
        <f>IF(tbl_PLL[[#This Row],[Date]]=$A$5, $F73, EMA_Beta*$H72 + (1-EMA_Beta)*$F73)</f>
        <v>24.736648682625802</v>
      </c>
      <c r="I73" s="46">
        <f ca="1">IF(tbl_PLL[[#This Row],[RS]]= "", "", 100-(100/(1+tbl_PLL[[#This Row],[RS]])))</f>
        <v>56.592512208355942</v>
      </c>
      <c r="J73" s="10">
        <f ca="1">IF(ROW($N73)-4&lt;BB_Periods, "", AVERAGE(INDIRECT(ADDRESS(ROW($F73)-RSI_Periods +1, MATCH("Adj Close", Price_Header,0))): INDIRECT(ADDRESS(ROW($F73),MATCH("Adj Close", Price_Header,0)))))</f>
        <v>23.166428571428565</v>
      </c>
      <c r="K73" s="10">
        <f ca="1">IF(tbl_PLL[[#This Row],[BB_Mean]]="", "", tbl_PLL[[#This Row],[BB_Mean]]+(BB_Width*tbl_PLL[[#This Row],[BB_Stdev]]))</f>
        <v>27.066216393213878</v>
      </c>
      <c r="L73" s="10">
        <f ca="1">IF(tbl_PLL[[#This Row],[BB_Mean]]="", "", tbl_PLL[[#This Row],[BB_Mean]]-(BB_Width*tbl_PLL[[#This Row],[BB_Stdev]]))</f>
        <v>19.266640749643251</v>
      </c>
      <c r="M73" s="46">
        <f>IF(ROW(tbl_PLL[[#This Row],[Adj Close]])=5, 0, $F73-$F72)</f>
        <v>0.32000000000000028</v>
      </c>
      <c r="N73" s="46">
        <f>MAX(tbl_PLL[[#This Row],[Move]],0)</f>
        <v>0.32000000000000028</v>
      </c>
      <c r="O73" s="46">
        <f>MAX(-tbl_PLL[[#This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0.74499999999999977</v>
      </c>
      <c r="Q73" s="46">
        <f ca="1">IF(ROW($O73)-5&lt;RSI_Periods, "", AVERAGE(INDIRECT(ADDRESS(ROW($O73)-RSI_Periods +1, MATCH("Downmove", Price_Header,0))): INDIRECT(ADDRESS(ROW($O73),MATCH("Downmove", Price_Header,0)))))</f>
        <v>0.57142857142857117</v>
      </c>
      <c r="R73" s="46">
        <f ca="1">IF(tbl_PLL[[#This Row],[Avg_Upmove]]="", "", tbl_PLL[[#This Row],[Avg_Upmove]]/tbl_PLL[[#This Row],[Avg_Downmove]])</f>
        <v>1.3037500000000002</v>
      </c>
      <c r="S73" s="10">
        <f ca="1">IF(ROW($N73)-4&lt;BB_Periods, "", _xlfn.STDEV.S(INDIRECT(ADDRESS(ROW($F73)-RSI_Periods +1, MATCH("Adj Close", Price_Header,0))): INDIRECT(ADDRESS(ROW($F73),MATCH("Adj Close", Price_Header,0)))))</f>
        <v>1.9498939108926576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SUBTOTAL(103,tbl_PLL[BB_Stdev])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8D83-651C-4FA9-AFFD-879C11CC9882}">
  <dimension ref="A1:S74"/>
  <sheetViews>
    <sheetView topLeftCell="B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396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4.6399999999999997</v>
      </c>
      <c r="C5" s="10">
        <v>4.67</v>
      </c>
      <c r="D5" s="10">
        <v>4.51</v>
      </c>
      <c r="E5" s="10">
        <v>4.63</v>
      </c>
      <c r="F5" s="10">
        <v>4.63</v>
      </c>
      <c r="G5">
        <v>5110700</v>
      </c>
      <c r="H5" s="10">
        <f>IF(tbl_APHA[[#This Row],[Date]]=$A$5, $F5, EMA_Beta*$H4 + (1-EMA_Beta)*$F5)</f>
        <v>4.63</v>
      </c>
      <c r="I5" s="46" t="str">
        <f ca="1">IF(tbl_APHA[[#This Row],[RS]]= "", "", 100-(100/(1+tbl_APHA[[#This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IF(tbl_APHA[[#This Row],[BB_Mean]]="", "", tbl_APHA[[#This Row],[BB_Mean]]+(BB_Width*tbl_APHA[[#This Row],[BB_Stdev]]))</f>
        <v/>
      </c>
      <c r="L5" s="10" t="str">
        <f ca="1">IF(tbl_APHA[[#This Row],[BB_Mean]]="", "", tbl_APHA[[#This Row],[BB_Mean]]-(BB_Width*tbl_APHA[[#This Row],[BB_Stdev]]))</f>
        <v/>
      </c>
      <c r="M5" s="46">
        <f>IF(ROW(tbl_APHA[[#This Row],[Adj Close]])=5, 0, $F5-$F4)</f>
        <v>0</v>
      </c>
      <c r="N5" s="46">
        <f>MAX(tbl_APHA[[#This Row],[Move]],0)</f>
        <v>0</v>
      </c>
      <c r="O5" s="46">
        <f>MAX(-tbl_APHA[[#This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IF(tbl_APHA[[#This Row],[Avg_Upmove]]="", "", tbl_APHA[[#This Row],[Avg_Upmove]]/tbl_APHA[[#This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4.6399999999999997</v>
      </c>
      <c r="C6" s="10">
        <v>4.66</v>
      </c>
      <c r="D6" s="10">
        <v>4.42</v>
      </c>
      <c r="E6" s="10">
        <v>4.45</v>
      </c>
      <c r="F6" s="10">
        <v>4.45</v>
      </c>
      <c r="G6">
        <v>3819200</v>
      </c>
      <c r="H6" s="10">
        <f>IF(tbl_APHA[[#This Row],[Date]]=$A$5, $F6, EMA_Beta*$H5 + (1-EMA_Beta)*$F6)</f>
        <v>4.6120000000000001</v>
      </c>
      <c r="I6" s="46" t="str">
        <f ca="1">IF(tbl_APHA[[#This Row],[RS]]= "", "", 100-(100/(1+tbl_APHA[[#This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IF(tbl_APHA[[#This Row],[BB_Mean]]="", "", tbl_APHA[[#This Row],[BB_Mean]]+(BB_Width*tbl_APHA[[#This Row],[BB_Stdev]]))</f>
        <v/>
      </c>
      <c r="L6" s="10" t="str">
        <f ca="1">IF(tbl_APHA[[#This Row],[BB_Mean]]="", "", tbl_APHA[[#This Row],[BB_Mean]]-(BB_Width*tbl_APHA[[#This Row],[BB_Stdev]]))</f>
        <v/>
      </c>
      <c r="M6" s="46">
        <f>IF(ROW(tbl_APHA[[#This Row],[Adj Close]])=5, 0, $F6-$F5)</f>
        <v>-0.17999999999999972</v>
      </c>
      <c r="N6" s="46">
        <f>MAX(tbl_APHA[[#This Row],[Move]],0)</f>
        <v>0</v>
      </c>
      <c r="O6" s="46">
        <f>MAX(-tbl_APHA[[#This Row],[Move]],0)</f>
        <v>0.17999999999999972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IF(tbl_APHA[[#This Row],[Avg_Upmove]]="", "", tbl_APHA[[#This Row],[Avg_Upmove]]/tbl_APHA[[#This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4.4800000000000004</v>
      </c>
      <c r="C7" s="10">
        <v>4.53</v>
      </c>
      <c r="D7" s="10">
        <v>4.4000000000000004</v>
      </c>
      <c r="E7" s="10">
        <v>4.51</v>
      </c>
      <c r="F7" s="10">
        <v>4.51</v>
      </c>
      <c r="G7">
        <v>3729100</v>
      </c>
      <c r="H7" s="10">
        <f>IF(tbl_APHA[[#This Row],[Date]]=$A$5, $F7, EMA_Beta*$H6 + (1-EMA_Beta)*$F7)</f>
        <v>4.6017999999999999</v>
      </c>
      <c r="I7" s="46" t="str">
        <f ca="1">IF(tbl_APHA[[#This Row],[RS]]= "", "", 100-(100/(1+tbl_APHA[[#This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IF(tbl_APHA[[#This Row],[BB_Mean]]="", "", tbl_APHA[[#This Row],[BB_Mean]]+(BB_Width*tbl_APHA[[#This Row],[BB_Stdev]]))</f>
        <v/>
      </c>
      <c r="L7" s="10" t="str">
        <f ca="1">IF(tbl_APHA[[#This Row],[BB_Mean]]="", "", tbl_APHA[[#This Row],[BB_Mean]]-(BB_Width*tbl_APHA[[#This Row],[BB_Stdev]]))</f>
        <v/>
      </c>
      <c r="M7" s="46">
        <f>IF(ROW(tbl_APHA[[#This Row],[Adj Close]])=5, 0, $F7-$F6)</f>
        <v>5.9999999999999609E-2</v>
      </c>
      <c r="N7" s="46">
        <f>MAX(tbl_APHA[[#This Row],[Move]],0)</f>
        <v>5.9999999999999609E-2</v>
      </c>
      <c r="O7" s="46">
        <f>MAX(-tbl_APHA[[#This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IF(tbl_APHA[[#This Row],[Avg_Upmove]]="", "", tbl_APHA[[#This Row],[Avg_Upmove]]/tbl_APHA[[#This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4.5</v>
      </c>
      <c r="C8" s="10">
        <v>4.6900000000000004</v>
      </c>
      <c r="D8" s="10">
        <v>4.5</v>
      </c>
      <c r="E8" s="10">
        <v>4.6500000000000004</v>
      </c>
      <c r="F8" s="10">
        <v>4.6500000000000004</v>
      </c>
      <c r="G8">
        <v>3952300</v>
      </c>
      <c r="H8" s="10">
        <f>IF(tbl_APHA[[#This Row],[Date]]=$A$5, $F8, EMA_Beta*$H7 + (1-EMA_Beta)*$F8)</f>
        <v>4.6066199999999995</v>
      </c>
      <c r="I8" s="46" t="str">
        <f ca="1">IF(tbl_APHA[[#This Row],[RS]]= "", "", 100-(100/(1+tbl_APHA[[#This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IF(tbl_APHA[[#This Row],[BB_Mean]]="", "", tbl_APHA[[#This Row],[BB_Mean]]+(BB_Width*tbl_APHA[[#This Row],[BB_Stdev]]))</f>
        <v/>
      </c>
      <c r="L8" s="10" t="str">
        <f ca="1">IF(tbl_APHA[[#This Row],[BB_Mean]]="", "", tbl_APHA[[#This Row],[BB_Mean]]-(BB_Width*tbl_APHA[[#This Row],[BB_Stdev]]))</f>
        <v/>
      </c>
      <c r="M8" s="46">
        <f>IF(ROW(tbl_APHA[[#This Row],[Adj Close]])=5, 0, $F8-$F7)</f>
        <v>0.14000000000000057</v>
      </c>
      <c r="N8" s="46">
        <f>MAX(tbl_APHA[[#This Row],[Move]],0)</f>
        <v>0.14000000000000057</v>
      </c>
      <c r="O8" s="46">
        <f>MAX(-tbl_APHA[[#This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IF(tbl_APHA[[#This Row],[Avg_Upmove]]="", "", tbl_APHA[[#This Row],[Avg_Upmove]]/tbl_APHA[[#This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4.67</v>
      </c>
      <c r="C9" s="10">
        <v>4.68</v>
      </c>
      <c r="D9" s="10">
        <v>4.4800000000000004</v>
      </c>
      <c r="E9" s="10">
        <v>4.49</v>
      </c>
      <c r="F9" s="10">
        <v>4.49</v>
      </c>
      <c r="G9">
        <v>6372200</v>
      </c>
      <c r="H9" s="10">
        <f>IF(tbl_APHA[[#This Row],[Date]]=$A$5, $F9, EMA_Beta*$H8 + (1-EMA_Beta)*$F9)</f>
        <v>4.5949579999999992</v>
      </c>
      <c r="I9" s="46" t="str">
        <f ca="1">IF(tbl_APHA[[#This Row],[RS]]= "", "", 100-(100/(1+tbl_APHA[[#This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IF(tbl_APHA[[#This Row],[BB_Mean]]="", "", tbl_APHA[[#This Row],[BB_Mean]]+(BB_Width*tbl_APHA[[#This Row],[BB_Stdev]]))</f>
        <v/>
      </c>
      <c r="L9" s="10" t="str">
        <f ca="1">IF(tbl_APHA[[#This Row],[BB_Mean]]="", "", tbl_APHA[[#This Row],[BB_Mean]]-(BB_Width*tbl_APHA[[#This Row],[BB_Stdev]]))</f>
        <v/>
      </c>
      <c r="M9" s="46">
        <f>IF(ROW(tbl_APHA[[#This Row],[Adj Close]])=5, 0, $F9-$F8)</f>
        <v>-0.16000000000000014</v>
      </c>
      <c r="N9" s="46">
        <f>MAX(tbl_APHA[[#This Row],[Move]],0)</f>
        <v>0</v>
      </c>
      <c r="O9" s="46">
        <f>MAX(-tbl_APHA[[#This Row],[Move]],0)</f>
        <v>0.16000000000000014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IF(tbl_APHA[[#This Row],[Avg_Upmove]]="", "", tbl_APHA[[#This Row],[Avg_Upmove]]/tbl_APHA[[#This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4.5999999999999996</v>
      </c>
      <c r="C10" s="10">
        <v>4.5999999999999996</v>
      </c>
      <c r="D10" s="10">
        <v>4.5</v>
      </c>
      <c r="E10" s="10">
        <v>4.59</v>
      </c>
      <c r="F10" s="10">
        <v>4.59</v>
      </c>
      <c r="G10">
        <v>3429600</v>
      </c>
      <c r="H10" s="10">
        <f>IF(tbl_APHA[[#This Row],[Date]]=$A$5, $F10, EMA_Beta*$H9 + (1-EMA_Beta)*$F10)</f>
        <v>4.5944621999999988</v>
      </c>
      <c r="I10" s="46" t="str">
        <f ca="1">IF(tbl_APHA[[#This Row],[RS]]= "", "", 100-(100/(1+tbl_APHA[[#This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IF(tbl_APHA[[#This Row],[BB_Mean]]="", "", tbl_APHA[[#This Row],[BB_Mean]]+(BB_Width*tbl_APHA[[#This Row],[BB_Stdev]]))</f>
        <v/>
      </c>
      <c r="L10" s="10" t="str">
        <f ca="1">IF(tbl_APHA[[#This Row],[BB_Mean]]="", "", tbl_APHA[[#This Row],[BB_Mean]]-(BB_Width*tbl_APHA[[#This Row],[BB_Stdev]]))</f>
        <v/>
      </c>
      <c r="M10" s="46">
        <f>IF(ROW(tbl_APHA[[#This Row],[Adj Close]])=5, 0, $F10-$F9)</f>
        <v>9.9999999999999645E-2</v>
      </c>
      <c r="N10" s="46">
        <f>MAX(tbl_APHA[[#This Row],[Move]],0)</f>
        <v>9.9999999999999645E-2</v>
      </c>
      <c r="O10" s="46">
        <f>MAX(-tbl_APHA[[#This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IF(tbl_APHA[[#This Row],[Avg_Upmove]]="", "", tbl_APHA[[#This Row],[Avg_Upmove]]/tbl_APHA[[#This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4.58</v>
      </c>
      <c r="C11" s="10">
        <v>4.68</v>
      </c>
      <c r="D11" s="10">
        <v>4.5199999999999996</v>
      </c>
      <c r="E11" s="10">
        <v>4.67</v>
      </c>
      <c r="F11" s="10">
        <v>4.67</v>
      </c>
      <c r="G11">
        <v>3289100</v>
      </c>
      <c r="H11" s="10">
        <f>IF(tbl_APHA[[#This Row],[Date]]=$A$5, $F11, EMA_Beta*$H10 + (1-EMA_Beta)*$F11)</f>
        <v>4.6020159799999991</v>
      </c>
      <c r="I11" s="46" t="str">
        <f ca="1">IF(tbl_APHA[[#This Row],[RS]]= "", "", 100-(100/(1+tbl_APHA[[#This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IF(tbl_APHA[[#This Row],[BB_Mean]]="", "", tbl_APHA[[#This Row],[BB_Mean]]+(BB_Width*tbl_APHA[[#This Row],[BB_Stdev]]))</f>
        <v/>
      </c>
      <c r="L11" s="10" t="str">
        <f ca="1">IF(tbl_APHA[[#This Row],[BB_Mean]]="", "", tbl_APHA[[#This Row],[BB_Mean]]-(BB_Width*tbl_APHA[[#This Row],[BB_Stdev]]))</f>
        <v/>
      </c>
      <c r="M11" s="46">
        <f>IF(ROW(tbl_APHA[[#This Row],[Adj Close]])=5, 0, $F11-$F10)</f>
        <v>8.0000000000000071E-2</v>
      </c>
      <c r="N11" s="46">
        <f>MAX(tbl_APHA[[#This Row],[Move]],0)</f>
        <v>8.0000000000000071E-2</v>
      </c>
      <c r="O11" s="46">
        <f>MAX(-tbl_APHA[[#This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IF(tbl_APHA[[#This Row],[Avg_Upmove]]="", "", tbl_APHA[[#This Row],[Avg_Upmove]]/tbl_APHA[[#This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4.6500000000000004</v>
      </c>
      <c r="C12" s="10">
        <v>4.75</v>
      </c>
      <c r="D12" s="10">
        <v>4.63</v>
      </c>
      <c r="E12" s="10">
        <v>4.63</v>
      </c>
      <c r="F12" s="10">
        <v>4.63</v>
      </c>
      <c r="G12">
        <v>2853600</v>
      </c>
      <c r="H12" s="10">
        <f>IF(tbl_APHA[[#This Row],[Date]]=$A$5, $F12, EMA_Beta*$H11 + (1-EMA_Beta)*$F12)</f>
        <v>4.6048143819999998</v>
      </c>
      <c r="I12" s="46" t="str">
        <f ca="1">IF(tbl_APHA[[#This Row],[RS]]= "", "", 100-(100/(1+tbl_APHA[[#This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IF(tbl_APHA[[#This Row],[BB_Mean]]="", "", tbl_APHA[[#This Row],[BB_Mean]]+(BB_Width*tbl_APHA[[#This Row],[BB_Stdev]]))</f>
        <v/>
      </c>
      <c r="L12" s="10" t="str">
        <f ca="1">IF(tbl_APHA[[#This Row],[BB_Mean]]="", "", tbl_APHA[[#This Row],[BB_Mean]]-(BB_Width*tbl_APHA[[#This Row],[BB_Stdev]]))</f>
        <v/>
      </c>
      <c r="M12" s="46">
        <f>IF(ROW(tbl_APHA[[#This Row],[Adj Close]])=5, 0, $F12-$F11)</f>
        <v>-4.0000000000000036E-2</v>
      </c>
      <c r="N12" s="46">
        <f>MAX(tbl_APHA[[#This Row],[Move]],0)</f>
        <v>0</v>
      </c>
      <c r="O12" s="46">
        <f>MAX(-tbl_APHA[[#This Row],[Move]],0)</f>
        <v>4.0000000000000036E-2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IF(tbl_APHA[[#This Row],[Avg_Upmove]]="", "", tbl_APHA[[#This Row],[Avg_Upmove]]/tbl_APHA[[#This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4.5999999999999996</v>
      </c>
      <c r="C13" s="10">
        <v>4.63</v>
      </c>
      <c r="D13" s="10">
        <v>4.53</v>
      </c>
      <c r="E13" s="10">
        <v>4.57</v>
      </c>
      <c r="F13" s="10">
        <v>4.57</v>
      </c>
      <c r="G13">
        <v>2044800</v>
      </c>
      <c r="H13" s="10">
        <f>IF(tbl_APHA[[#This Row],[Date]]=$A$5, $F13, EMA_Beta*$H12 + (1-EMA_Beta)*$F13)</f>
        <v>4.6013329438000001</v>
      </c>
      <c r="I13" s="46" t="str">
        <f ca="1">IF(tbl_APHA[[#This Row],[RS]]= "", "", 100-(100/(1+tbl_APHA[[#This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IF(tbl_APHA[[#This Row],[BB_Mean]]="", "", tbl_APHA[[#This Row],[BB_Mean]]+(BB_Width*tbl_APHA[[#This Row],[BB_Stdev]]))</f>
        <v/>
      </c>
      <c r="L13" s="10" t="str">
        <f ca="1">IF(tbl_APHA[[#This Row],[BB_Mean]]="", "", tbl_APHA[[#This Row],[BB_Mean]]-(BB_Width*tbl_APHA[[#This Row],[BB_Stdev]]))</f>
        <v/>
      </c>
      <c r="M13" s="46">
        <f>IF(ROW(tbl_APHA[[#This Row],[Adj Close]])=5, 0, $F13-$F12)</f>
        <v>-5.9999999999999609E-2</v>
      </c>
      <c r="N13" s="46">
        <f>MAX(tbl_APHA[[#This Row],[Move]],0)</f>
        <v>0</v>
      </c>
      <c r="O13" s="46">
        <f>MAX(-tbl_APHA[[#This Row],[Move]],0)</f>
        <v>5.9999999999999609E-2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IF(tbl_APHA[[#This Row],[Avg_Upmove]]="", "", tbl_APHA[[#This Row],[Avg_Upmove]]/tbl_APHA[[#This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4.55</v>
      </c>
      <c r="C14" s="10">
        <v>4.5599999999999996</v>
      </c>
      <c r="D14" s="10">
        <v>4.43</v>
      </c>
      <c r="E14" s="10">
        <v>4.4800000000000004</v>
      </c>
      <c r="F14" s="10">
        <v>4.4800000000000004</v>
      </c>
      <c r="G14">
        <v>2655500</v>
      </c>
      <c r="H14" s="10">
        <f>IF(tbl_APHA[[#This Row],[Date]]=$A$5, $F14, EMA_Beta*$H13 + (1-EMA_Beta)*$F14)</f>
        <v>4.5891996494199994</v>
      </c>
      <c r="I14" s="46" t="str">
        <f ca="1">IF(tbl_APHA[[#This Row],[RS]]= "", "", 100-(100/(1+tbl_APHA[[#This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IF(tbl_APHA[[#This Row],[BB_Mean]]="", "", tbl_APHA[[#This Row],[BB_Mean]]+(BB_Width*tbl_APHA[[#This Row],[BB_Stdev]]))</f>
        <v/>
      </c>
      <c r="L14" s="10" t="str">
        <f ca="1">IF(tbl_APHA[[#This Row],[BB_Mean]]="", "", tbl_APHA[[#This Row],[BB_Mean]]-(BB_Width*tbl_APHA[[#This Row],[BB_Stdev]]))</f>
        <v/>
      </c>
      <c r="M14" s="46">
        <f>IF(ROW(tbl_APHA[[#This Row],[Adj Close]])=5, 0, $F14-$F13)</f>
        <v>-8.9999999999999858E-2</v>
      </c>
      <c r="N14" s="46">
        <f>MAX(tbl_APHA[[#This Row],[Move]],0)</f>
        <v>0</v>
      </c>
      <c r="O14" s="46">
        <f>MAX(-tbl_APHA[[#This Row],[Move]],0)</f>
        <v>8.9999999999999858E-2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IF(tbl_APHA[[#This Row],[Avg_Upmove]]="", "", tbl_APHA[[#This Row],[Avg_Upmove]]/tbl_APHA[[#This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4.5</v>
      </c>
      <c r="C15" s="10">
        <v>4.5599999999999996</v>
      </c>
      <c r="D15" s="10">
        <v>4.3899999999999997</v>
      </c>
      <c r="E15" s="10">
        <v>4.55</v>
      </c>
      <c r="F15" s="10">
        <v>4.55</v>
      </c>
      <c r="G15">
        <v>2939300</v>
      </c>
      <c r="H15" s="10">
        <f>IF(tbl_APHA[[#This Row],[Date]]=$A$5, $F15, EMA_Beta*$H14 + (1-EMA_Beta)*$F15)</f>
        <v>4.5852796844779995</v>
      </c>
      <c r="I15" s="46" t="str">
        <f ca="1">IF(tbl_APHA[[#This Row],[RS]]= "", "", 100-(100/(1+tbl_APHA[[#This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IF(tbl_APHA[[#This Row],[BB_Mean]]="", "", tbl_APHA[[#This Row],[BB_Mean]]+(BB_Width*tbl_APHA[[#This Row],[BB_Stdev]]))</f>
        <v/>
      </c>
      <c r="L15" s="10" t="str">
        <f ca="1">IF(tbl_APHA[[#This Row],[BB_Mean]]="", "", tbl_APHA[[#This Row],[BB_Mean]]-(BB_Width*tbl_APHA[[#This Row],[BB_Stdev]]))</f>
        <v/>
      </c>
      <c r="M15" s="46">
        <f>IF(ROW(tbl_APHA[[#This Row],[Adj Close]])=5, 0, $F15-$F14)</f>
        <v>6.9999999999999396E-2</v>
      </c>
      <c r="N15" s="46">
        <f>MAX(tbl_APHA[[#This Row],[Move]],0)</f>
        <v>6.9999999999999396E-2</v>
      </c>
      <c r="O15" s="46">
        <f>MAX(-tbl_APHA[[#This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IF(tbl_APHA[[#This Row],[Avg_Upmove]]="", "", tbl_APHA[[#This Row],[Avg_Upmove]]/tbl_APHA[[#This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4.55</v>
      </c>
      <c r="C16" s="10">
        <v>4.6399999999999997</v>
      </c>
      <c r="D16" s="10">
        <v>4.51</v>
      </c>
      <c r="E16" s="10">
        <v>4.58</v>
      </c>
      <c r="F16" s="10">
        <v>4.58</v>
      </c>
      <c r="G16">
        <v>2554900</v>
      </c>
      <c r="H16" s="10">
        <f>IF(tbl_APHA[[#This Row],[Date]]=$A$5, $F16, EMA_Beta*$H15 + (1-EMA_Beta)*$F16)</f>
        <v>4.5847517160302003</v>
      </c>
      <c r="I16" s="46" t="str">
        <f ca="1">IF(tbl_APHA[[#This Row],[RS]]= "", "", 100-(100/(1+tbl_APHA[[#This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IF(tbl_APHA[[#This Row],[BB_Mean]]="", "", tbl_APHA[[#This Row],[BB_Mean]]+(BB_Width*tbl_APHA[[#This Row],[BB_Stdev]]))</f>
        <v/>
      </c>
      <c r="L16" s="10" t="str">
        <f ca="1">IF(tbl_APHA[[#This Row],[BB_Mean]]="", "", tbl_APHA[[#This Row],[BB_Mean]]-(BB_Width*tbl_APHA[[#This Row],[BB_Stdev]]))</f>
        <v/>
      </c>
      <c r="M16" s="46">
        <f>IF(ROW(tbl_APHA[[#This Row],[Adj Close]])=5, 0, $F16-$F15)</f>
        <v>3.0000000000000249E-2</v>
      </c>
      <c r="N16" s="46">
        <f>MAX(tbl_APHA[[#This Row],[Move]],0)</f>
        <v>3.0000000000000249E-2</v>
      </c>
      <c r="O16" s="46">
        <f>MAX(-tbl_APHA[[#This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IF(tbl_APHA[[#This Row],[Avg_Upmove]]="", "", tbl_APHA[[#This Row],[Avg_Upmove]]/tbl_APHA[[#This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4.59</v>
      </c>
      <c r="C17" s="10">
        <v>4.63</v>
      </c>
      <c r="D17" s="10">
        <v>4.54</v>
      </c>
      <c r="E17" s="10">
        <v>4.57</v>
      </c>
      <c r="F17" s="10">
        <v>4.57</v>
      </c>
      <c r="G17">
        <v>2073000</v>
      </c>
      <c r="H17" s="10">
        <f>IF(tbl_APHA[[#This Row],[Date]]=$A$5, $F17, EMA_Beta*$H16 + (1-EMA_Beta)*$F17)</f>
        <v>4.5832765444271804</v>
      </c>
      <c r="I17" s="46" t="str">
        <f ca="1">IF(tbl_APHA[[#This Row],[RS]]= "", "", 100-(100/(1+tbl_APHA[[#This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IF(tbl_APHA[[#This Row],[BB_Mean]]="", "", tbl_APHA[[#This Row],[BB_Mean]]+(BB_Width*tbl_APHA[[#This Row],[BB_Stdev]]))</f>
        <v/>
      </c>
      <c r="L17" s="10" t="str">
        <f ca="1">IF(tbl_APHA[[#This Row],[BB_Mean]]="", "", tbl_APHA[[#This Row],[BB_Mean]]-(BB_Width*tbl_APHA[[#This Row],[BB_Stdev]]))</f>
        <v/>
      </c>
      <c r="M17" s="46">
        <f>IF(ROW(tbl_APHA[[#This Row],[Adj Close]])=5, 0, $F17-$F16)</f>
        <v>-9.9999999999997868E-3</v>
      </c>
      <c r="N17" s="46">
        <f>MAX(tbl_APHA[[#This Row],[Move]],0)</f>
        <v>0</v>
      </c>
      <c r="O17" s="46">
        <f>MAX(-tbl_APHA[[#This Row],[Move]],0)</f>
        <v>9.9999999999997868E-3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IF(tbl_APHA[[#This Row],[Avg_Upmove]]="", "", tbl_APHA[[#This Row],[Avg_Upmove]]/tbl_APHA[[#This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4.57</v>
      </c>
      <c r="C18" s="10">
        <v>4.6100000000000003</v>
      </c>
      <c r="D18" s="10">
        <v>4.51</v>
      </c>
      <c r="E18" s="10">
        <v>4.57</v>
      </c>
      <c r="F18" s="10">
        <v>4.57</v>
      </c>
      <c r="G18">
        <v>2079400</v>
      </c>
      <c r="H18" s="10">
        <f>IF(tbl_APHA[[#This Row],[Date]]=$A$5, $F18, EMA_Beta*$H17 + (1-EMA_Beta)*$F18)</f>
        <v>4.5819488899844627</v>
      </c>
      <c r="I18" s="46" t="str">
        <f ca="1">IF(tbl_APHA[[#This Row],[RS]]= "", "", 100-(100/(1+tbl_APHA[[#This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4.5671428571428567</v>
      </c>
      <c r="K18" s="10">
        <f ca="1">IF(tbl_APHA[[#This Row],[BB_Mean]]="", "", tbl_APHA[[#This Row],[BB_Mean]]+(BB_Width*tbl_APHA[[#This Row],[BB_Stdev]]))</f>
        <v>4.6994428824765526</v>
      </c>
      <c r="L18" s="10">
        <f ca="1">IF(tbl_APHA[[#This Row],[BB_Mean]]="", "", tbl_APHA[[#This Row],[BB_Mean]]-(BB_Width*tbl_APHA[[#This Row],[BB_Stdev]]))</f>
        <v>4.4348428318091608</v>
      </c>
      <c r="M18" s="46">
        <f>IF(ROW(tbl_APHA[[#This Row],[Adj Close]])=5, 0, $F18-$F17)</f>
        <v>0</v>
      </c>
      <c r="N18" s="46">
        <f>MAX(tbl_APHA[[#This Row],[Move]],0)</f>
        <v>0</v>
      </c>
      <c r="O18" s="46">
        <f>MAX(-tbl_APHA[[#This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IF(tbl_APHA[[#This Row],[Avg_Upmove]]="", "", tbl_APHA[[#This Row],[Avg_Upmove]]/tbl_APHA[[#This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6.615001266684814E-2</v>
      </c>
    </row>
    <row r="19" spans="1:19" x14ac:dyDescent="0.35">
      <c r="A19" s="8">
        <v>44071</v>
      </c>
      <c r="B19" s="10">
        <v>4.5599999999999996</v>
      </c>
      <c r="C19" s="10">
        <v>4.84</v>
      </c>
      <c r="D19" s="10">
        <v>4.55</v>
      </c>
      <c r="E19" s="10">
        <v>4.6900000000000004</v>
      </c>
      <c r="F19" s="10">
        <v>4.6900000000000004</v>
      </c>
      <c r="G19">
        <v>7301600</v>
      </c>
      <c r="H19" s="10">
        <f>IF(tbl_APHA[[#This Row],[Date]]=$A$5, $F19, EMA_Beta*$H18 + (1-EMA_Beta)*$F19)</f>
        <v>4.5927540009860168</v>
      </c>
      <c r="I19" s="46">
        <f ca="1">IF(tbl_APHA[[#This Row],[RS]]= "", "", 100-(100/(1+tbl_APHA[[#This Row],[RS]])))</f>
        <v>52.631578947368439</v>
      </c>
      <c r="J19" s="10">
        <f ca="1">IF(ROW($N19)-4&lt;BB_Periods, "", AVERAGE(INDIRECT(ADDRESS(ROW($F19)-RSI_Periods +1, MATCH("Adj Close", Price_Header,0))): INDIRECT(ADDRESS(ROW($F19),MATCH("Adj Close", Price_Header,0)))))</f>
        <v>4.5714285714285712</v>
      </c>
      <c r="K19" s="10">
        <f ca="1">IF(tbl_APHA[[#This Row],[BB_Mean]]="", "", tbl_APHA[[#This Row],[BB_Mean]]+(BB_Width*tbl_APHA[[#This Row],[BB_Stdev]]))</f>
        <v>4.7158333748554213</v>
      </c>
      <c r="L19" s="10">
        <f ca="1">IF(tbl_APHA[[#This Row],[BB_Mean]]="", "", tbl_APHA[[#This Row],[BB_Mean]]-(BB_Width*tbl_APHA[[#This Row],[BB_Stdev]]))</f>
        <v>4.427023768001721</v>
      </c>
      <c r="M19" s="46">
        <f>IF(ROW(tbl_APHA[[#This Row],[Adj Close]])=5, 0, $F19-$F18)</f>
        <v>0.12000000000000011</v>
      </c>
      <c r="N19" s="46">
        <f>MAX(tbl_APHA[[#This Row],[Move]],0)</f>
        <v>0.12000000000000011</v>
      </c>
      <c r="O19" s="46">
        <f>MAX(-tbl_APHA[[#This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4.285714285714283E-2</v>
      </c>
      <c r="Q19" s="46">
        <f ca="1">IF(ROW($O19)-5&lt;RSI_Periods, "", AVERAGE(INDIRECT(ADDRESS(ROW($O19)-RSI_Periods +1, MATCH("Downmove", Price_Header,0))): INDIRECT(ADDRESS(ROW($O19),MATCH("Downmove", Price_Header,0)))))</f>
        <v>3.8571428571428513E-2</v>
      </c>
      <c r="R19" s="46">
        <f ca="1">IF(tbl_APHA[[#This Row],[Avg_Upmove]]="", "", tbl_APHA[[#This Row],[Avg_Upmove]]/tbl_APHA[[#This Row],[Avg_Downmove]])</f>
        <v>1.111111111111112</v>
      </c>
      <c r="S19" s="10">
        <f ca="1">IF(ROW($N19)-4&lt;BB_Periods, "", _xlfn.STDEV.S(INDIRECT(ADDRESS(ROW($F19)-RSI_Periods +1, MATCH("Adj Close", Price_Header,0))): INDIRECT(ADDRESS(ROW($F19),MATCH("Adj Close", Price_Header,0)))))</f>
        <v>7.220240171342511E-2</v>
      </c>
    </row>
    <row r="20" spans="1:19" x14ac:dyDescent="0.35">
      <c r="A20" s="8">
        <v>44074</v>
      </c>
      <c r="B20" s="10">
        <v>4.7</v>
      </c>
      <c r="C20" s="10">
        <v>4.9000000000000004</v>
      </c>
      <c r="D20" s="10">
        <v>4.63</v>
      </c>
      <c r="E20" s="10">
        <v>4.87</v>
      </c>
      <c r="F20" s="10">
        <v>4.87</v>
      </c>
      <c r="G20">
        <v>4531300</v>
      </c>
      <c r="H20" s="10">
        <f>IF(tbl_APHA[[#This Row],[Date]]=$A$5, $F20, EMA_Beta*$H19 + (1-EMA_Beta)*$F20)</f>
        <v>4.6204786008874157</v>
      </c>
      <c r="I20" s="46">
        <f ca="1">IF(tbl_APHA[[#This Row],[RS]]= "", "", 100-(100/(1+tbl_APHA[[#This Row],[RS]])))</f>
        <v>68.421052631578959</v>
      </c>
      <c r="J20" s="10">
        <f ca="1">IF(ROW($N20)-4&lt;BB_Periods, "", AVERAGE(INDIRECT(ADDRESS(ROW($F20)-RSI_Periods +1, MATCH("Adj Close", Price_Header,0))): INDIRECT(ADDRESS(ROW($F20),MATCH("Adj Close", Price_Header,0)))))</f>
        <v>4.6014285714285714</v>
      </c>
      <c r="K20" s="10">
        <f ca="1">IF(tbl_APHA[[#This Row],[BB_Mean]]="", "", tbl_APHA[[#This Row],[BB_Mean]]+(BB_Width*tbl_APHA[[#This Row],[BB_Stdev]]))</f>
        <v>4.8010986289437927</v>
      </c>
      <c r="L20" s="10">
        <f ca="1">IF(tbl_APHA[[#This Row],[BB_Mean]]="", "", tbl_APHA[[#This Row],[BB_Mean]]-(BB_Width*tbl_APHA[[#This Row],[BB_Stdev]]))</f>
        <v>4.4017585139133502</v>
      </c>
      <c r="M20" s="46">
        <f>IF(ROW(tbl_APHA[[#This Row],[Adj Close]])=5, 0, $F20-$F19)</f>
        <v>0.17999999999999972</v>
      </c>
      <c r="N20" s="46">
        <f>MAX(tbl_APHA[[#This Row],[Move]],0)</f>
        <v>0.17999999999999972</v>
      </c>
      <c r="O20" s="46">
        <f>MAX(-tbl_APHA[[#This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5.5714285714285668E-2</v>
      </c>
      <c r="Q20" s="46">
        <f ca="1">IF(ROW($O20)-5&lt;RSI_Periods, "", AVERAGE(INDIRECT(ADDRESS(ROW($O20)-RSI_Periods +1, MATCH("Downmove", Price_Header,0))): INDIRECT(ADDRESS(ROW($O20),MATCH("Downmove", Price_Header,0)))))</f>
        <v>2.5714285714285672E-2</v>
      </c>
      <c r="R20" s="46">
        <f ca="1">IF(tbl_APHA[[#This Row],[Avg_Upmove]]="", "", tbl_APHA[[#This Row],[Avg_Upmove]]/tbl_APHA[[#This Row],[Avg_Downmove]])</f>
        <v>2.1666666666666683</v>
      </c>
      <c r="S20" s="10">
        <f ca="1">IF(ROW($N20)-4&lt;BB_Periods, "", _xlfn.STDEV.S(INDIRECT(ADDRESS(ROW($F20)-RSI_Periods +1, MATCH("Adj Close", Price_Header,0))): INDIRECT(ADDRESS(ROW($F20),MATCH("Adj Close", Price_Header,0)))))</f>
        <v>9.9835028757610758E-2</v>
      </c>
    </row>
    <row r="21" spans="1:19" x14ac:dyDescent="0.35">
      <c r="A21" s="8">
        <v>44075</v>
      </c>
      <c r="B21" s="10">
        <v>4.84</v>
      </c>
      <c r="C21" s="10">
        <v>4.87</v>
      </c>
      <c r="D21" s="10">
        <v>4.7300000000000004</v>
      </c>
      <c r="E21" s="10">
        <v>4.78</v>
      </c>
      <c r="F21" s="10">
        <v>4.78</v>
      </c>
      <c r="G21">
        <v>3150700</v>
      </c>
      <c r="H21" s="10">
        <f>IF(tbl_APHA[[#This Row],[Date]]=$A$5, $F21, EMA_Beta*$H20 + (1-EMA_Beta)*$F21)</f>
        <v>4.6364307407986738</v>
      </c>
      <c r="I21" s="46">
        <f ca="1">IF(tbl_APHA[[#This Row],[RS]]= "", "", 100-(100/(1+tbl_APHA[[#This Row],[RS]])))</f>
        <v>61.538461538461576</v>
      </c>
      <c r="J21" s="10">
        <f ca="1">IF(ROW($N21)-4&lt;BB_Periods, "", AVERAGE(INDIRECT(ADDRESS(ROW($F21)-RSI_Periods +1, MATCH("Adj Close", Price_Header,0))): INDIRECT(ADDRESS(ROW($F21),MATCH("Adj Close", Price_Header,0)))))</f>
        <v>4.6207142857142847</v>
      </c>
      <c r="K21" s="10">
        <f ca="1">IF(tbl_APHA[[#This Row],[BB_Mean]]="", "", tbl_APHA[[#This Row],[BB_Mean]]+(BB_Width*tbl_APHA[[#This Row],[BB_Stdev]]))</f>
        <v>4.8340344547220333</v>
      </c>
      <c r="L21" s="10">
        <f ca="1">IF(tbl_APHA[[#This Row],[BB_Mean]]="", "", tbl_APHA[[#This Row],[BB_Mean]]-(BB_Width*tbl_APHA[[#This Row],[BB_Stdev]]))</f>
        <v>4.407394116706536</v>
      </c>
      <c r="M21" s="46">
        <f>IF(ROW(tbl_APHA[[#This Row],[Adj Close]])=5, 0, $F21-$F20)</f>
        <v>-8.9999999999999858E-2</v>
      </c>
      <c r="N21" s="46">
        <f>MAX(tbl_APHA[[#This Row],[Move]],0)</f>
        <v>0</v>
      </c>
      <c r="O21" s="46">
        <f>MAX(-tbl_APHA[[#This Row],[Move]],0)</f>
        <v>8.9999999999999858E-2</v>
      </c>
      <c r="P21" s="46">
        <f ca="1">IF(ROW($N21)-5&lt;RSI_Periods, "", AVERAGE(INDIRECT(ADDRESS(ROW($N21)-RSI_Periods +1, MATCH("Upmove", Price_Header,0))): INDIRECT(ADDRESS(ROW($N21),MATCH("Upmove", Price_Header,0)))))</f>
        <v>5.1428571428571414E-2</v>
      </c>
      <c r="Q21" s="46">
        <f ca="1">IF(ROW($O21)-5&lt;RSI_Periods, "", AVERAGE(INDIRECT(ADDRESS(ROW($O21)-RSI_Periods +1, MATCH("Downmove", Price_Header,0))): INDIRECT(ADDRESS(ROW($O21),MATCH("Downmove", Price_Header,0)))))</f>
        <v>3.2142857142857091E-2</v>
      </c>
      <c r="R21" s="46">
        <f ca="1">IF(tbl_APHA[[#This Row],[Avg_Upmove]]="", "", tbl_APHA[[#This Row],[Avg_Upmove]]/tbl_APHA[[#This Row],[Avg_Downmove]])</f>
        <v>1.6000000000000021</v>
      </c>
      <c r="S21" s="10">
        <f ca="1">IF(ROW($N21)-4&lt;BB_Periods, "", _xlfn.STDEV.S(INDIRECT(ADDRESS(ROW($F21)-RSI_Periods +1, MATCH("Adj Close", Price_Header,0))): INDIRECT(ADDRESS(ROW($F21),MATCH("Adj Close", Price_Header,0)))))</f>
        <v>0.10666008450387438</v>
      </c>
    </row>
    <row r="22" spans="1:19" x14ac:dyDescent="0.35">
      <c r="A22" s="8">
        <v>44076</v>
      </c>
      <c r="B22" s="10">
        <v>4.74</v>
      </c>
      <c r="C22" s="10">
        <v>4.79</v>
      </c>
      <c r="D22" s="10">
        <v>4.67</v>
      </c>
      <c r="E22" s="10">
        <v>4.72</v>
      </c>
      <c r="F22" s="10">
        <v>4.72</v>
      </c>
      <c r="G22">
        <v>2573800</v>
      </c>
      <c r="H22" s="10">
        <f>IF(tbl_APHA[[#This Row],[Date]]=$A$5, $F22, EMA_Beta*$H21 + (1-EMA_Beta)*$F22)</f>
        <v>4.6447876667188064</v>
      </c>
      <c r="I22" s="46">
        <f ca="1">IF(tbl_APHA[[#This Row],[RS]]= "", "", 100-(100/(1+tbl_APHA[[#This Row],[RS]])))</f>
        <v>53.211009174311897</v>
      </c>
      <c r="J22" s="10">
        <f ca="1">IF(ROW($N22)-4&lt;BB_Periods, "", AVERAGE(INDIRECT(ADDRESS(ROW($F22)-RSI_Periods +1, MATCH("Adj Close", Price_Header,0))): INDIRECT(ADDRESS(ROW($F22),MATCH("Adj Close", Price_Header,0)))))</f>
        <v>4.6257142857142863</v>
      </c>
      <c r="K22" s="10">
        <f ca="1">IF(tbl_APHA[[#This Row],[BB_Mean]]="", "", tbl_APHA[[#This Row],[BB_Mean]]+(BB_Width*tbl_APHA[[#This Row],[BB_Stdev]]))</f>
        <v>4.8451841765126211</v>
      </c>
      <c r="L22" s="10">
        <f ca="1">IF(tbl_APHA[[#This Row],[BB_Mean]]="", "", tbl_APHA[[#This Row],[BB_Mean]]-(BB_Width*tbl_APHA[[#This Row],[BB_Stdev]]))</f>
        <v>4.4062443949159515</v>
      </c>
      <c r="M22" s="46">
        <f>IF(ROW(tbl_APHA[[#This Row],[Adj Close]])=5, 0, $F22-$F21)</f>
        <v>-6.0000000000000497E-2</v>
      </c>
      <c r="N22" s="46">
        <f>MAX(tbl_APHA[[#This Row],[Move]],0)</f>
        <v>0</v>
      </c>
      <c r="O22" s="46">
        <f>MAX(-tbl_APHA[[#This Row],[Move]],0)</f>
        <v>6.0000000000000497E-2</v>
      </c>
      <c r="P22" s="46">
        <f ca="1">IF(ROW($N22)-5&lt;RSI_Periods, "", AVERAGE(INDIRECT(ADDRESS(ROW($N22)-RSI_Periods +1, MATCH("Upmove", Price_Header,0))): INDIRECT(ADDRESS(ROW($N22),MATCH("Upmove", Price_Header,0)))))</f>
        <v>4.142857142857137E-2</v>
      </c>
      <c r="Q22" s="46">
        <f ca="1">IF(ROW($O22)-5&lt;RSI_Periods, "", AVERAGE(INDIRECT(ADDRESS(ROW($O22)-RSI_Periods +1, MATCH("Downmove", Price_Header,0))): INDIRECT(ADDRESS(ROW($O22),MATCH("Downmove", Price_Header,0)))))</f>
        <v>3.6428571428571414E-2</v>
      </c>
      <c r="R22" s="46">
        <f ca="1">IF(tbl_APHA[[#This Row],[Avg_Upmove]]="", "", tbl_APHA[[#This Row],[Avg_Upmove]]/tbl_APHA[[#This Row],[Avg_Downmove]])</f>
        <v>1.1372549019607832</v>
      </c>
      <c r="S22" s="10">
        <f ca="1">IF(ROW($N22)-4&lt;BB_Periods, "", _xlfn.STDEV.S(INDIRECT(ADDRESS(ROW($F22)-RSI_Periods +1, MATCH("Adj Close", Price_Header,0))): INDIRECT(ADDRESS(ROW($F22),MATCH("Adj Close", Price_Header,0)))))</f>
        <v>0.10973494539916732</v>
      </c>
    </row>
    <row r="23" spans="1:19" x14ac:dyDescent="0.35">
      <c r="A23" s="8">
        <v>44077</v>
      </c>
      <c r="B23" s="10">
        <v>4.68</v>
      </c>
      <c r="C23" s="10">
        <v>4.83</v>
      </c>
      <c r="D23" s="10">
        <v>4.58</v>
      </c>
      <c r="E23" s="10">
        <v>4.7</v>
      </c>
      <c r="F23" s="10">
        <v>4.7</v>
      </c>
      <c r="G23">
        <v>3284100</v>
      </c>
      <c r="H23" s="10">
        <f>IF(tbl_APHA[[#This Row],[Date]]=$A$5, $F23, EMA_Beta*$H22 + (1-EMA_Beta)*$F23)</f>
        <v>4.6503089000469258</v>
      </c>
      <c r="I23" s="46">
        <f ca="1">IF(tbl_APHA[[#This Row],[RS]]= "", "", 100-(100/(1+tbl_APHA[[#This Row],[RS]])))</f>
        <v>61.052631578947384</v>
      </c>
      <c r="J23" s="10">
        <f ca="1">IF(ROW($N23)-4&lt;BB_Periods, "", AVERAGE(INDIRECT(ADDRESS(ROW($F23)-RSI_Periods +1, MATCH("Adj Close", Price_Header,0))): INDIRECT(ADDRESS(ROW($F23),MATCH("Adj Close", Price_Header,0)))))</f>
        <v>4.640714285714286</v>
      </c>
      <c r="K23" s="10">
        <f ca="1">IF(tbl_APHA[[#This Row],[BB_Mean]]="", "", tbl_APHA[[#This Row],[BB_Mean]]+(BB_Width*tbl_APHA[[#This Row],[BB_Stdev]]))</f>
        <v>4.8486291034367648</v>
      </c>
      <c r="L23" s="10">
        <f ca="1">IF(tbl_APHA[[#This Row],[BB_Mean]]="", "", tbl_APHA[[#This Row],[BB_Mean]]-(BB_Width*tbl_APHA[[#This Row],[BB_Stdev]]))</f>
        <v>4.4327994679918072</v>
      </c>
      <c r="M23" s="46">
        <f>IF(ROW(tbl_APHA[[#This Row],[Adj Close]])=5, 0, $F23-$F22)</f>
        <v>-1.9999999999999574E-2</v>
      </c>
      <c r="N23" s="46">
        <f>MAX(tbl_APHA[[#This Row],[Move]],0)</f>
        <v>0</v>
      </c>
      <c r="O23" s="46">
        <f>MAX(-tbl_APHA[[#This Row],[Move]],0)</f>
        <v>1.9999999999999574E-2</v>
      </c>
      <c r="P23" s="46">
        <f ca="1">IF(ROW($N23)-5&lt;RSI_Periods, "", AVERAGE(INDIRECT(ADDRESS(ROW($N23)-RSI_Periods +1, MATCH("Upmove", Price_Header,0))): INDIRECT(ADDRESS(ROW($N23),MATCH("Upmove", Price_Header,0)))))</f>
        <v>4.142857142857137E-2</v>
      </c>
      <c r="Q23" s="46">
        <f ca="1">IF(ROW($O23)-5&lt;RSI_Periods, "", AVERAGE(INDIRECT(ADDRESS(ROW($O23)-RSI_Periods +1, MATCH("Downmove", Price_Header,0))): INDIRECT(ADDRESS(ROW($O23),MATCH("Downmove", Price_Header,0)))))</f>
        <v>2.6428571428571374E-2</v>
      </c>
      <c r="R23" s="46">
        <f ca="1">IF(tbl_APHA[[#This Row],[Avg_Upmove]]="", "", tbl_APHA[[#This Row],[Avg_Upmove]]/tbl_APHA[[#This Row],[Avg_Downmove]])</f>
        <v>1.5675675675675687</v>
      </c>
      <c r="S23" s="10">
        <f ca="1">IF(ROW($N23)-4&lt;BB_Periods, "", _xlfn.STDEV.S(INDIRECT(ADDRESS(ROW($F23)-RSI_Periods +1, MATCH("Adj Close", Price_Header,0))): INDIRECT(ADDRESS(ROW($F23),MATCH("Adj Close", Price_Header,0)))))</f>
        <v>0.10395740886123918</v>
      </c>
    </row>
    <row r="24" spans="1:19" x14ac:dyDescent="0.35">
      <c r="A24" s="8">
        <v>44078</v>
      </c>
      <c r="B24" s="10">
        <v>4.6500000000000004</v>
      </c>
      <c r="C24" s="10">
        <v>4.71</v>
      </c>
      <c r="D24" s="10">
        <v>4.38</v>
      </c>
      <c r="E24" s="10">
        <v>4.59</v>
      </c>
      <c r="F24" s="10">
        <v>4.59</v>
      </c>
      <c r="G24">
        <v>3697200</v>
      </c>
      <c r="H24" s="10">
        <f>IF(tbl_APHA[[#This Row],[Date]]=$A$5, $F24, EMA_Beta*$H23 + (1-EMA_Beta)*$F24)</f>
        <v>4.6442780100422327</v>
      </c>
      <c r="I24" s="46">
        <f ca="1">IF(tbl_APHA[[#This Row],[RS]]= "", "", 100-(100/(1+tbl_APHA[[#This Row],[RS]])))</f>
        <v>50</v>
      </c>
      <c r="J24" s="10">
        <f ca="1">IF(ROW($N24)-4&lt;BB_Periods, "", AVERAGE(INDIRECT(ADDRESS(ROW($F24)-RSI_Periods +1, MATCH("Adj Close", Price_Header,0))): INDIRECT(ADDRESS(ROW($F24),MATCH("Adj Close", Price_Header,0)))))</f>
        <v>4.640714285714286</v>
      </c>
      <c r="K24" s="10">
        <f ca="1">IF(tbl_APHA[[#This Row],[BB_Mean]]="", "", tbl_APHA[[#This Row],[BB_Mean]]+(BB_Width*tbl_APHA[[#This Row],[BB_Stdev]]))</f>
        <v>4.8486291034367648</v>
      </c>
      <c r="L24" s="10">
        <f ca="1">IF(tbl_APHA[[#This Row],[BB_Mean]]="", "", tbl_APHA[[#This Row],[BB_Mean]]-(BB_Width*tbl_APHA[[#This Row],[BB_Stdev]]))</f>
        <v>4.4327994679918072</v>
      </c>
      <c r="M24" s="46">
        <f>IF(ROW(tbl_APHA[[#This Row],[Adj Close]])=5, 0, $F24-$F23)</f>
        <v>-0.11000000000000032</v>
      </c>
      <c r="N24" s="46">
        <f>MAX(tbl_APHA[[#This Row],[Move]],0)</f>
        <v>0</v>
      </c>
      <c r="O24" s="46">
        <f>MAX(-tbl_APHA[[#This Row],[Move]],0)</f>
        <v>0.11000000000000032</v>
      </c>
      <c r="P24" s="46">
        <f ca="1">IF(ROW($N24)-5&lt;RSI_Periods, "", AVERAGE(INDIRECT(ADDRESS(ROW($N24)-RSI_Periods +1, MATCH("Upmove", Price_Header,0))): INDIRECT(ADDRESS(ROW($N24),MATCH("Upmove", Price_Header,0)))))</f>
        <v>3.4285714285714253E-2</v>
      </c>
      <c r="Q24" s="46">
        <f ca="1">IF(ROW($O24)-5&lt;RSI_Periods, "", AVERAGE(INDIRECT(ADDRESS(ROW($O24)-RSI_Periods +1, MATCH("Downmove", Price_Header,0))): INDIRECT(ADDRESS(ROW($O24),MATCH("Downmove", Price_Header,0)))))</f>
        <v>3.4285714285714253E-2</v>
      </c>
      <c r="R24" s="46">
        <f ca="1">IF(tbl_APHA[[#This Row],[Avg_Upmove]]="", "", tbl_APHA[[#This Row],[Avg_Upmove]]/tbl_APHA[[#This Row],[Avg_Downmove]])</f>
        <v>1</v>
      </c>
      <c r="S24" s="10">
        <f ca="1">IF(ROW($N24)-4&lt;BB_Periods, "", _xlfn.STDEV.S(INDIRECT(ADDRESS(ROW($F24)-RSI_Periods +1, MATCH("Adj Close", Price_Header,0))): INDIRECT(ADDRESS(ROW($F24),MATCH("Adj Close", Price_Header,0)))))</f>
        <v>0.10395740886123919</v>
      </c>
    </row>
    <row r="25" spans="1:19" x14ac:dyDescent="0.35">
      <c r="A25" s="8">
        <v>44082</v>
      </c>
      <c r="B25" s="10">
        <v>4.47</v>
      </c>
      <c r="C25" s="10">
        <v>4.57</v>
      </c>
      <c r="D25" s="10">
        <v>4.4000000000000004</v>
      </c>
      <c r="E25" s="10">
        <v>4.4400000000000004</v>
      </c>
      <c r="F25" s="10">
        <v>4.4400000000000004</v>
      </c>
      <c r="G25">
        <v>2779800</v>
      </c>
      <c r="H25" s="10">
        <f>IF(tbl_APHA[[#This Row],[Date]]=$A$5, $F25, EMA_Beta*$H24 + (1-EMA_Beta)*$F25)</f>
        <v>4.6238502090380091</v>
      </c>
      <c r="I25" s="46">
        <f ca="1">IF(tbl_APHA[[#This Row],[RS]]= "", "", 100-(100/(1+tbl_APHA[[#This Row],[RS]])))</f>
        <v>38.834951456310684</v>
      </c>
      <c r="J25" s="10">
        <f ca="1">IF(ROW($N25)-4&lt;BB_Periods, "", AVERAGE(INDIRECT(ADDRESS(ROW($F25)-RSI_Periods +1, MATCH("Adj Close", Price_Header,0))): INDIRECT(ADDRESS(ROW($F25),MATCH("Adj Close", Price_Header,0)))))</f>
        <v>4.6242857142857137</v>
      </c>
      <c r="K25" s="10">
        <f ca="1">IF(tbl_APHA[[#This Row],[BB_Mean]]="", "", tbl_APHA[[#This Row],[BB_Mean]]+(BB_Width*tbl_APHA[[#This Row],[BB_Stdev]]))</f>
        <v>4.8570899285899269</v>
      </c>
      <c r="L25" s="10">
        <f ca="1">IF(tbl_APHA[[#This Row],[BB_Mean]]="", "", tbl_APHA[[#This Row],[BB_Mean]]-(BB_Width*tbl_APHA[[#This Row],[BB_Stdev]]))</f>
        <v>4.3914814999815004</v>
      </c>
      <c r="M25" s="46">
        <f>IF(ROW(tbl_APHA[[#This Row],[Adj Close]])=5, 0, $F25-$F24)</f>
        <v>-0.14999999999999947</v>
      </c>
      <c r="N25" s="46">
        <f>MAX(tbl_APHA[[#This Row],[Move]],0)</f>
        <v>0</v>
      </c>
      <c r="O25" s="46">
        <f>MAX(-tbl_APHA[[#This Row],[Move]],0)</f>
        <v>0.14999999999999947</v>
      </c>
      <c r="P25" s="46">
        <f ca="1">IF(ROW($N25)-5&lt;RSI_Periods, "", AVERAGE(INDIRECT(ADDRESS(ROW($N25)-RSI_Periods +1, MATCH("Upmove", Price_Header,0))): INDIRECT(ADDRESS(ROW($N25),MATCH("Upmove", Price_Header,0)))))</f>
        <v>2.8571428571428532E-2</v>
      </c>
      <c r="Q25" s="46">
        <f ca="1">IF(ROW($O25)-5&lt;RSI_Periods, "", AVERAGE(INDIRECT(ADDRESS(ROW($O25)-RSI_Periods +1, MATCH("Downmove", Price_Header,0))): INDIRECT(ADDRESS(ROW($O25),MATCH("Downmove", Price_Header,0)))))</f>
        <v>4.4999999999999929E-2</v>
      </c>
      <c r="R25" s="46">
        <f ca="1">IF(tbl_APHA[[#This Row],[Avg_Upmove]]="", "", tbl_APHA[[#This Row],[Avg_Upmove]]/tbl_APHA[[#This Row],[Avg_Downmove]])</f>
        <v>0.63492063492063511</v>
      </c>
      <c r="S25" s="10">
        <f ca="1">IF(ROW($N25)-4&lt;BB_Periods, "", _xlfn.STDEV.S(INDIRECT(ADDRESS(ROW($F25)-RSI_Periods +1, MATCH("Adj Close", Price_Header,0))): INDIRECT(ADDRESS(ROW($F25),MATCH("Adj Close", Price_Header,0)))))</f>
        <v>0.11640210715210672</v>
      </c>
    </row>
    <row r="26" spans="1:19" x14ac:dyDescent="0.35">
      <c r="A26" s="8">
        <v>44083</v>
      </c>
      <c r="B26" s="10">
        <v>4.49</v>
      </c>
      <c r="C26" s="10">
        <v>4.59</v>
      </c>
      <c r="D26" s="10">
        <v>4.47</v>
      </c>
      <c r="E26" s="10">
        <v>4.51</v>
      </c>
      <c r="F26" s="10">
        <v>4.51</v>
      </c>
      <c r="G26">
        <v>2893200</v>
      </c>
      <c r="H26" s="10">
        <f>IF(tbl_APHA[[#This Row],[Date]]=$A$5, $F26, EMA_Beta*$H25 + (1-EMA_Beta)*$F26)</f>
        <v>4.612465188134208</v>
      </c>
      <c r="I26" s="46">
        <f ca="1">IF(tbl_APHA[[#This Row],[RS]]= "", "", 100-(100/(1+tbl_APHA[[#This Row],[RS]])))</f>
        <v>44.339622641509408</v>
      </c>
      <c r="J26" s="10">
        <f ca="1">IF(ROW($N26)-4&lt;BB_Periods, "", AVERAGE(INDIRECT(ADDRESS(ROW($F26)-RSI_Periods +1, MATCH("Adj Close", Price_Header,0))): INDIRECT(ADDRESS(ROW($F26),MATCH("Adj Close", Price_Header,0)))))</f>
        <v>4.6157142857142857</v>
      </c>
      <c r="K26" s="10">
        <f ca="1">IF(tbl_APHA[[#This Row],[BB_Mean]]="", "", tbl_APHA[[#This Row],[BB_Mean]]+(BB_Width*tbl_APHA[[#This Row],[BB_Stdev]]))</f>
        <v>4.8563179221999171</v>
      </c>
      <c r="L26" s="10">
        <f ca="1">IF(tbl_APHA[[#This Row],[BB_Mean]]="", "", tbl_APHA[[#This Row],[BB_Mean]]-(BB_Width*tbl_APHA[[#This Row],[BB_Stdev]]))</f>
        <v>4.3751106492286542</v>
      </c>
      <c r="M26" s="46">
        <f>IF(ROW(tbl_APHA[[#This Row],[Adj Close]])=5, 0, $F26-$F25)</f>
        <v>6.9999999999999396E-2</v>
      </c>
      <c r="N26" s="46">
        <f>MAX(tbl_APHA[[#This Row],[Move]],0)</f>
        <v>6.9999999999999396E-2</v>
      </c>
      <c r="O26" s="46">
        <f>MAX(-tbl_APHA[[#This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3.3571428571428488E-2</v>
      </c>
      <c r="Q26" s="46">
        <f ca="1">IF(ROW($O26)-5&lt;RSI_Periods, "", AVERAGE(INDIRECT(ADDRESS(ROW($O26)-RSI_Periods +1, MATCH("Downmove", Price_Header,0))): INDIRECT(ADDRESS(ROW($O26),MATCH("Downmove", Price_Header,0)))))</f>
        <v>4.2142857142857072E-2</v>
      </c>
      <c r="R26" s="46">
        <f ca="1">IF(tbl_APHA[[#This Row],[Avg_Upmove]]="", "", tbl_APHA[[#This Row],[Avg_Upmove]]/tbl_APHA[[#This Row],[Avg_Downmove]])</f>
        <v>0.79661016949152474</v>
      </c>
      <c r="S26" s="10">
        <f ca="1">IF(ROW($N26)-4&lt;BB_Periods, "", _xlfn.STDEV.S(INDIRECT(ADDRESS(ROW($F26)-RSI_Periods +1, MATCH("Adj Close", Price_Header,0))): INDIRECT(ADDRESS(ROW($F26),MATCH("Adj Close", Price_Header,0)))))</f>
        <v>0.1203018182428157</v>
      </c>
    </row>
    <row r="27" spans="1:19" x14ac:dyDescent="0.35">
      <c r="A27" s="8">
        <v>44084</v>
      </c>
      <c r="B27" s="10">
        <v>4.53</v>
      </c>
      <c r="C27" s="10">
        <v>4.7300000000000004</v>
      </c>
      <c r="D27" s="10">
        <v>4.53</v>
      </c>
      <c r="E27" s="10">
        <v>4.63</v>
      </c>
      <c r="F27" s="10">
        <v>4.63</v>
      </c>
      <c r="G27">
        <v>4422300</v>
      </c>
      <c r="H27" s="10">
        <f>IF(tbl_APHA[[#This Row],[Date]]=$A$5, $F27, EMA_Beta*$H26 + (1-EMA_Beta)*$F27)</f>
        <v>4.6142186693207874</v>
      </c>
      <c r="I27" s="46">
        <f ca="1">IF(tbl_APHA[[#This Row],[RS]]= "", "", 100-(100/(1+tbl_APHA[[#This Row],[RS]])))</f>
        <v>52.678571428571416</v>
      </c>
      <c r="J27" s="10">
        <f ca="1">IF(ROW($N27)-4&lt;BB_Periods, "", AVERAGE(INDIRECT(ADDRESS(ROW($F27)-RSI_Periods +1, MATCH("Adj Close", Price_Header,0))): INDIRECT(ADDRESS(ROW($F27),MATCH("Adj Close", Price_Header,0)))))</f>
        <v>4.62</v>
      </c>
      <c r="K27" s="10">
        <f ca="1">IF(tbl_APHA[[#This Row],[BB_Mean]]="", "", tbl_APHA[[#This Row],[BB_Mean]]+(BB_Width*tbl_APHA[[#This Row],[BB_Stdev]]))</f>
        <v>4.8592295325221562</v>
      </c>
      <c r="L27" s="10">
        <f ca="1">IF(tbl_APHA[[#This Row],[BB_Mean]]="", "", tbl_APHA[[#This Row],[BB_Mean]]-(BB_Width*tbl_APHA[[#This Row],[BB_Stdev]]))</f>
        <v>4.380770467477844</v>
      </c>
      <c r="M27" s="46">
        <f>IF(ROW(tbl_APHA[[#This Row],[Adj Close]])=5, 0, $F27-$F26)</f>
        <v>0.12000000000000011</v>
      </c>
      <c r="N27" s="46">
        <f>MAX(tbl_APHA[[#This Row],[Move]],0)</f>
        <v>0.12000000000000011</v>
      </c>
      <c r="O27" s="46">
        <f>MAX(-tbl_APHA[[#This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4.2142857142857072E-2</v>
      </c>
      <c r="Q27" s="46">
        <f ca="1">IF(ROW($O27)-5&lt;RSI_Periods, "", AVERAGE(INDIRECT(ADDRESS(ROW($O27)-RSI_Periods +1, MATCH("Downmove", Price_Header,0))): INDIRECT(ADDRESS(ROW($O27),MATCH("Downmove", Price_Header,0)))))</f>
        <v>3.7857142857142811E-2</v>
      </c>
      <c r="R27" s="46">
        <f ca="1">IF(tbl_APHA[[#This Row],[Avg_Upmove]]="", "", tbl_APHA[[#This Row],[Avg_Upmove]]/tbl_APHA[[#This Row],[Avg_Downmove]])</f>
        <v>1.1132075471698109</v>
      </c>
      <c r="S27" s="10">
        <f ca="1">IF(ROW($N27)-4&lt;BB_Periods, "", _xlfn.STDEV.S(INDIRECT(ADDRESS(ROW($F27)-RSI_Periods +1, MATCH("Adj Close", Price_Header,0))): INDIRECT(ADDRESS(ROW($F27),MATCH("Adj Close", Price_Header,0)))))</f>
        <v>0.11961476626107791</v>
      </c>
    </row>
    <row r="28" spans="1:19" x14ac:dyDescent="0.35">
      <c r="A28" s="8">
        <v>44085</v>
      </c>
      <c r="B28" s="10">
        <v>4.67</v>
      </c>
      <c r="C28" s="10">
        <v>4.67</v>
      </c>
      <c r="D28" s="10">
        <v>4.47</v>
      </c>
      <c r="E28" s="10">
        <v>4.5</v>
      </c>
      <c r="F28" s="10">
        <v>4.5</v>
      </c>
      <c r="G28">
        <v>3136200</v>
      </c>
      <c r="H28" s="10">
        <f>IF(tbl_APHA[[#This Row],[Date]]=$A$5, $F28, EMA_Beta*$H27 + (1-EMA_Beta)*$F28)</f>
        <v>4.6027968023887089</v>
      </c>
      <c r="I28" s="46">
        <f ca="1">IF(tbl_APHA[[#This Row],[RS]]= "", "", 100-(100/(1+tbl_APHA[[#This Row],[RS]])))</f>
        <v>50.862068965517224</v>
      </c>
      <c r="J28" s="10">
        <f ca="1">IF(ROW($N28)-4&lt;BB_Periods, "", AVERAGE(INDIRECT(ADDRESS(ROW($F28)-RSI_Periods +1, MATCH("Adj Close", Price_Header,0))): INDIRECT(ADDRESS(ROW($F28),MATCH("Adj Close", Price_Header,0)))))</f>
        <v>4.6214285714285719</v>
      </c>
      <c r="K28" s="10">
        <f ca="1">IF(tbl_APHA[[#This Row],[BB_Mean]]="", "", tbl_APHA[[#This Row],[BB_Mean]]+(BB_Width*tbl_APHA[[#This Row],[BB_Stdev]]))</f>
        <v>4.8572716930623772</v>
      </c>
      <c r="L28" s="10">
        <f ca="1">IF(tbl_APHA[[#This Row],[BB_Mean]]="", "", tbl_APHA[[#This Row],[BB_Mean]]-(BB_Width*tbl_APHA[[#This Row],[BB_Stdev]]))</f>
        <v>4.3855854497947666</v>
      </c>
      <c r="M28" s="46">
        <f>IF(ROW(tbl_APHA[[#This Row],[Adj Close]])=5, 0, $F28-$F27)</f>
        <v>-0.12999999999999989</v>
      </c>
      <c r="N28" s="46">
        <f>MAX(tbl_APHA[[#This Row],[Move]],0)</f>
        <v>0</v>
      </c>
      <c r="O28" s="46">
        <f>MAX(-tbl_APHA[[#This Row],[Move]],0)</f>
        <v>0.12999999999999989</v>
      </c>
      <c r="P28" s="46">
        <f ca="1">IF(ROW($N28)-5&lt;RSI_Periods, "", AVERAGE(INDIRECT(ADDRESS(ROW($N28)-RSI_Periods +1, MATCH("Upmove", Price_Header,0))): INDIRECT(ADDRESS(ROW($N28),MATCH("Upmove", Price_Header,0)))))</f>
        <v>4.2142857142857072E-2</v>
      </c>
      <c r="Q28" s="46">
        <f ca="1">IF(ROW($O28)-5&lt;RSI_Periods, "", AVERAGE(INDIRECT(ADDRESS(ROW($O28)-RSI_Periods +1, MATCH("Downmove", Price_Header,0))): INDIRECT(ADDRESS(ROW($O28),MATCH("Downmove", Price_Header,0)))))</f>
        <v>4.0714285714285668E-2</v>
      </c>
      <c r="R28" s="46">
        <f ca="1">IF(tbl_APHA[[#This Row],[Avg_Upmove]]="", "", tbl_APHA[[#This Row],[Avg_Upmove]]/tbl_APHA[[#This Row],[Avg_Downmove]])</f>
        <v>1.0350877192982451</v>
      </c>
      <c r="S28" s="10">
        <f ca="1">IF(ROW($N28)-4&lt;BB_Periods, "", _xlfn.STDEV.S(INDIRECT(ADDRESS(ROW($F28)-RSI_Periods +1, MATCH("Adj Close", Price_Header,0))): INDIRECT(ADDRESS(ROW($F28),MATCH("Adj Close", Price_Header,0)))))</f>
        <v>0.1179215608169028</v>
      </c>
    </row>
    <row r="29" spans="1:19" x14ac:dyDescent="0.35">
      <c r="A29" s="8">
        <v>44088</v>
      </c>
      <c r="B29" s="10">
        <v>4.55</v>
      </c>
      <c r="C29" s="10">
        <v>4.67</v>
      </c>
      <c r="D29" s="10">
        <v>4.49</v>
      </c>
      <c r="E29" s="10">
        <v>4.6500000000000004</v>
      </c>
      <c r="F29" s="10">
        <v>4.6500000000000004</v>
      </c>
      <c r="G29">
        <v>2521800</v>
      </c>
      <c r="H29" s="10">
        <f>IF(tbl_APHA[[#This Row],[Date]]=$A$5, $F29, EMA_Beta*$H28 + (1-EMA_Beta)*$F29)</f>
        <v>4.6075171221498383</v>
      </c>
      <c r="I29" s="46">
        <f ca="1">IF(tbl_APHA[[#This Row],[RS]]= "", "", 100-(100/(1+tbl_APHA[[#This Row],[RS]])))</f>
        <v>54.032258064516157</v>
      </c>
      <c r="J29" s="10">
        <f ca="1">IF(ROW($N29)-4&lt;BB_Periods, "", AVERAGE(INDIRECT(ADDRESS(ROW($F29)-RSI_Periods +1, MATCH("Adj Close", Price_Header,0))): INDIRECT(ADDRESS(ROW($F29),MATCH("Adj Close", Price_Header,0)))))</f>
        <v>4.628571428571429</v>
      </c>
      <c r="K29" s="10">
        <f ca="1">IF(tbl_APHA[[#This Row],[BB_Mean]]="", "", tbl_APHA[[#This Row],[BB_Mean]]+(BB_Width*tbl_APHA[[#This Row],[BB_Stdev]]))</f>
        <v>4.8611300587779134</v>
      </c>
      <c r="L29" s="10">
        <f ca="1">IF(tbl_APHA[[#This Row],[BB_Mean]]="", "", tbl_APHA[[#This Row],[BB_Mean]]-(BB_Width*tbl_APHA[[#This Row],[BB_Stdev]]))</f>
        <v>4.3960127983649446</v>
      </c>
      <c r="M29" s="46">
        <f>IF(ROW(tbl_APHA[[#This Row],[Adj Close]])=5, 0, $F29-$F28)</f>
        <v>0.15000000000000036</v>
      </c>
      <c r="N29" s="46">
        <f>MAX(tbl_APHA[[#This Row],[Move]],0)</f>
        <v>0.15000000000000036</v>
      </c>
      <c r="O29" s="46">
        <f>MAX(-tbl_APHA[[#This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4.7857142857142855E-2</v>
      </c>
      <c r="Q29" s="46">
        <f ca="1">IF(ROW($O29)-5&lt;RSI_Periods, "", AVERAGE(INDIRECT(ADDRESS(ROW($O29)-RSI_Periods +1, MATCH("Downmove", Price_Header,0))): INDIRECT(ADDRESS(ROW($O29),MATCH("Downmove", Price_Header,0)))))</f>
        <v>4.0714285714285668E-2</v>
      </c>
      <c r="R29" s="46">
        <f ca="1">IF(tbl_APHA[[#This Row],[Avg_Upmove]]="", "", tbl_APHA[[#This Row],[Avg_Upmove]]/tbl_APHA[[#This Row],[Avg_Downmove]])</f>
        <v>1.1754385964912293</v>
      </c>
      <c r="S29" s="10">
        <f ca="1">IF(ROW($N29)-4&lt;BB_Periods, "", _xlfn.STDEV.S(INDIRECT(ADDRESS(ROW($F29)-RSI_Periods +1, MATCH("Adj Close", Price_Header,0))): INDIRECT(ADDRESS(ROW($F29),MATCH("Adj Close", Price_Header,0)))))</f>
        <v>0.11627931510324235</v>
      </c>
    </row>
    <row r="30" spans="1:19" x14ac:dyDescent="0.35">
      <c r="A30" s="8">
        <v>44089</v>
      </c>
      <c r="B30" s="10">
        <v>4.68</v>
      </c>
      <c r="C30" s="10">
        <v>4.75</v>
      </c>
      <c r="D30" s="10">
        <v>4.6399999999999997</v>
      </c>
      <c r="E30" s="10">
        <v>4.6399999999999997</v>
      </c>
      <c r="F30" s="10">
        <v>4.6399999999999997</v>
      </c>
      <c r="G30">
        <v>1883600</v>
      </c>
      <c r="H30" s="10">
        <f>IF(tbl_APHA[[#This Row],[Date]]=$A$5, $F30, EMA_Beta*$H29 + (1-EMA_Beta)*$F30)</f>
        <v>4.6107654099348538</v>
      </c>
      <c r="I30" s="46">
        <f ca="1">IF(tbl_APHA[[#This Row],[RS]]= "", "", 100-(100/(1+tbl_APHA[[#This Row],[RS]])))</f>
        <v>52.45901639344261</v>
      </c>
      <c r="J30" s="10">
        <f ca="1">IF(ROW($N30)-4&lt;BB_Periods, "", AVERAGE(INDIRECT(ADDRESS(ROW($F30)-RSI_Periods +1, MATCH("Adj Close", Price_Header,0))): INDIRECT(ADDRESS(ROW($F30),MATCH("Adj Close", Price_Header,0)))))</f>
        <v>4.6328571428571426</v>
      </c>
      <c r="K30" s="10">
        <f ca="1">IF(tbl_APHA[[#This Row],[BB_Mean]]="", "", tbl_APHA[[#This Row],[BB_Mean]]+(BB_Width*tbl_APHA[[#This Row],[BB_Stdev]]))</f>
        <v>4.8637655258116848</v>
      </c>
      <c r="L30" s="10">
        <f ca="1">IF(tbl_APHA[[#This Row],[BB_Mean]]="", "", tbl_APHA[[#This Row],[BB_Mean]]-(BB_Width*tbl_APHA[[#This Row],[BB_Stdev]]))</f>
        <v>4.4019487599026004</v>
      </c>
      <c r="M30" s="46">
        <f>IF(ROW(tbl_APHA[[#This Row],[Adj Close]])=5, 0, $F30-$F29)</f>
        <v>-1.0000000000000675E-2</v>
      </c>
      <c r="N30" s="46">
        <f>MAX(tbl_APHA[[#This Row],[Move]],0)</f>
        <v>0</v>
      </c>
      <c r="O30" s="46">
        <f>MAX(-tbl_APHA[[#This Row],[Move]],0)</f>
        <v>1.0000000000000675E-2</v>
      </c>
      <c r="P30" s="46">
        <f ca="1">IF(ROW($N30)-5&lt;RSI_Periods, "", AVERAGE(INDIRECT(ADDRESS(ROW($N30)-RSI_Periods +1, MATCH("Upmove", Price_Header,0))): INDIRECT(ADDRESS(ROW($N30),MATCH("Upmove", Price_Header,0)))))</f>
        <v>4.5714285714285693E-2</v>
      </c>
      <c r="Q30" s="46">
        <f ca="1">IF(ROW($O30)-5&lt;RSI_Periods, "", AVERAGE(INDIRECT(ADDRESS(ROW($O30)-RSI_Periods +1, MATCH("Downmove", Price_Header,0))): INDIRECT(ADDRESS(ROW($O30),MATCH("Downmove", Price_Header,0)))))</f>
        <v>4.1428571428571433E-2</v>
      </c>
      <c r="R30" s="46">
        <f ca="1">IF(tbl_APHA[[#This Row],[Avg_Upmove]]="", "", tbl_APHA[[#This Row],[Avg_Upmove]]/tbl_APHA[[#This Row],[Avg_Downmove]])</f>
        <v>1.1034482758620683</v>
      </c>
      <c r="S30" s="10">
        <f ca="1">IF(ROW($N30)-4&lt;BB_Periods, "", _xlfn.STDEV.S(INDIRECT(ADDRESS(ROW($F30)-RSI_Periods +1, MATCH("Adj Close", Price_Header,0))): INDIRECT(ADDRESS(ROW($F30),MATCH("Adj Close", Price_Header,0)))))</f>
        <v>0.11545419147727087</v>
      </c>
    </row>
    <row r="31" spans="1:19" x14ac:dyDescent="0.35">
      <c r="A31" s="8">
        <v>44090</v>
      </c>
      <c r="B31" s="10">
        <v>4.66</v>
      </c>
      <c r="C31" s="10">
        <v>4.74</v>
      </c>
      <c r="D31" s="10">
        <v>4.63</v>
      </c>
      <c r="E31" s="10">
        <v>4.63</v>
      </c>
      <c r="F31" s="10">
        <v>4.63</v>
      </c>
      <c r="G31">
        <v>2279300</v>
      </c>
      <c r="H31" s="10">
        <f>IF(tbl_APHA[[#This Row],[Date]]=$A$5, $F31, EMA_Beta*$H30 + (1-EMA_Beta)*$F31)</f>
        <v>4.612688868941369</v>
      </c>
      <c r="I31" s="46">
        <f ca="1">IF(tbl_APHA[[#This Row],[RS]]= "", "", 100-(100/(1+tbl_APHA[[#This Row],[RS]])))</f>
        <v>52.45901639344261</v>
      </c>
      <c r="J31" s="10">
        <f ca="1">IF(ROW($N31)-4&lt;BB_Periods, "", AVERAGE(INDIRECT(ADDRESS(ROW($F31)-RSI_Periods +1, MATCH("Adj Close", Price_Header,0))): INDIRECT(ADDRESS(ROW($F31),MATCH("Adj Close", Price_Header,0)))))</f>
        <v>4.637142857142857</v>
      </c>
      <c r="K31" s="10">
        <f ca="1">IF(tbl_APHA[[#This Row],[BB_Mean]]="", "", tbl_APHA[[#This Row],[BB_Mean]]+(BB_Width*tbl_APHA[[#This Row],[BB_Stdev]]))</f>
        <v>4.8652357628334411</v>
      </c>
      <c r="L31" s="10">
        <f ca="1">IF(tbl_APHA[[#This Row],[BB_Mean]]="", "", tbl_APHA[[#This Row],[BB_Mean]]-(BB_Width*tbl_APHA[[#This Row],[BB_Stdev]]))</f>
        <v>4.409049951452273</v>
      </c>
      <c r="M31" s="46">
        <f>IF(ROW(tbl_APHA[[#This Row],[Adj Close]])=5, 0, $F31-$F30)</f>
        <v>-9.9999999999997868E-3</v>
      </c>
      <c r="N31" s="46">
        <f>MAX(tbl_APHA[[#This Row],[Move]],0)</f>
        <v>0</v>
      </c>
      <c r="O31" s="46">
        <f>MAX(-tbl_APHA[[#This Row],[Move]],0)</f>
        <v>9.9999999999997868E-3</v>
      </c>
      <c r="P31" s="46">
        <f ca="1">IF(ROW($N31)-5&lt;RSI_Periods, "", AVERAGE(INDIRECT(ADDRESS(ROW($N31)-RSI_Periods +1, MATCH("Upmove", Price_Header,0))): INDIRECT(ADDRESS(ROW($N31),MATCH("Upmove", Price_Header,0)))))</f>
        <v>4.5714285714285693E-2</v>
      </c>
      <c r="Q31" s="46">
        <f ca="1">IF(ROW($O31)-5&lt;RSI_Periods, "", AVERAGE(INDIRECT(ADDRESS(ROW($O31)-RSI_Periods +1, MATCH("Downmove", Price_Header,0))): INDIRECT(ADDRESS(ROW($O31),MATCH("Downmove", Price_Header,0)))))</f>
        <v>4.1428571428571433E-2</v>
      </c>
      <c r="R31" s="46">
        <f ca="1">IF(tbl_APHA[[#This Row],[Avg_Upmove]]="", "", tbl_APHA[[#This Row],[Avg_Upmove]]/tbl_APHA[[#This Row],[Avg_Downmove]])</f>
        <v>1.1034482758620683</v>
      </c>
      <c r="S31" s="10">
        <f ca="1">IF(ROW($N31)-4&lt;BB_Periods, "", _xlfn.STDEV.S(INDIRECT(ADDRESS(ROW($F31)-RSI_Periods +1, MATCH("Adj Close", Price_Header,0))): INDIRECT(ADDRESS(ROW($F31),MATCH("Adj Close", Price_Header,0)))))</f>
        <v>0.11404645284529198</v>
      </c>
    </row>
    <row r="32" spans="1:19" x14ac:dyDescent="0.35">
      <c r="A32" s="8">
        <v>44091</v>
      </c>
      <c r="B32" s="10">
        <v>4.6100000000000003</v>
      </c>
      <c r="C32" s="10">
        <v>4.66</v>
      </c>
      <c r="D32" s="10">
        <v>4.53</v>
      </c>
      <c r="E32" s="10">
        <v>4.66</v>
      </c>
      <c r="F32" s="10">
        <v>4.66</v>
      </c>
      <c r="G32">
        <v>1672700</v>
      </c>
      <c r="H32" s="10">
        <f>IF(tbl_APHA[[#This Row],[Date]]=$A$5, $F32, EMA_Beta*$H31 + (1-EMA_Beta)*$F32)</f>
        <v>4.6174199820472328</v>
      </c>
      <c r="I32" s="46">
        <f ca="1">IF(tbl_APHA[[#This Row],[RS]]= "", "", 100-(100/(1+tbl_APHA[[#This Row],[RS]])))</f>
        <v>53.599999999999994</v>
      </c>
      <c r="J32" s="10">
        <f ca="1">IF(ROW($N32)-4&lt;BB_Periods, "", AVERAGE(INDIRECT(ADDRESS(ROW($F32)-RSI_Periods +1, MATCH("Adj Close", Price_Header,0))): INDIRECT(ADDRESS(ROW($F32),MATCH("Adj Close", Price_Header,0)))))</f>
        <v>4.6435714285714287</v>
      </c>
      <c r="K32" s="10">
        <f ca="1">IF(tbl_APHA[[#This Row],[BB_Mean]]="", "", tbl_APHA[[#This Row],[BB_Mean]]+(BB_Width*tbl_APHA[[#This Row],[BB_Stdev]]))</f>
        <v>4.868564712964492</v>
      </c>
      <c r="L32" s="10">
        <f ca="1">IF(tbl_APHA[[#This Row],[BB_Mean]]="", "", tbl_APHA[[#This Row],[BB_Mean]]-(BB_Width*tbl_APHA[[#This Row],[BB_Stdev]]))</f>
        <v>4.4185781441783654</v>
      </c>
      <c r="M32" s="46">
        <f>IF(ROW(tbl_APHA[[#This Row],[Adj Close]])=5, 0, $F32-$F31)</f>
        <v>3.0000000000000249E-2</v>
      </c>
      <c r="N32" s="46">
        <f>MAX(tbl_APHA[[#This Row],[Move]],0)</f>
        <v>3.0000000000000249E-2</v>
      </c>
      <c r="O32" s="46">
        <f>MAX(-tbl_APHA[[#This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4.7857142857142855E-2</v>
      </c>
      <c r="Q32" s="46">
        <f ca="1">IF(ROW($O32)-5&lt;RSI_Periods, "", AVERAGE(INDIRECT(ADDRESS(ROW($O32)-RSI_Periods +1, MATCH("Downmove", Price_Header,0))): INDIRECT(ADDRESS(ROW($O32),MATCH("Downmove", Price_Header,0)))))</f>
        <v>4.1428571428571433E-2</v>
      </c>
      <c r="R32" s="46">
        <f ca="1">IF(tbl_APHA[[#This Row],[Avg_Upmove]]="", "", tbl_APHA[[#This Row],[Avg_Upmove]]/tbl_APHA[[#This Row],[Avg_Downmove]])</f>
        <v>1.1551724137931032</v>
      </c>
      <c r="S32" s="10">
        <f ca="1">IF(ROW($N32)-4&lt;BB_Periods, "", _xlfn.STDEV.S(INDIRECT(ADDRESS(ROW($F32)-RSI_Periods +1, MATCH("Adj Close", Price_Header,0))): INDIRECT(ADDRESS(ROW($F32),MATCH("Adj Close", Price_Header,0)))))</f>
        <v>0.11249664219653185</v>
      </c>
    </row>
    <row r="33" spans="1:19" x14ac:dyDescent="0.35">
      <c r="A33" s="8">
        <v>44092</v>
      </c>
      <c r="B33" s="10">
        <v>4.6500000000000004</v>
      </c>
      <c r="C33" s="10">
        <v>4.7</v>
      </c>
      <c r="D33" s="10">
        <v>4.5599999999999996</v>
      </c>
      <c r="E33" s="10">
        <v>4.68</v>
      </c>
      <c r="F33" s="10">
        <v>4.68</v>
      </c>
      <c r="G33">
        <v>1889900</v>
      </c>
      <c r="H33" s="10">
        <f>IF(tbl_APHA[[#This Row],[Date]]=$A$5, $F33, EMA_Beta*$H32 + (1-EMA_Beta)*$F33)</f>
        <v>4.6236779838425095</v>
      </c>
      <c r="I33" s="46">
        <f ca="1">IF(tbl_APHA[[#This Row],[RS]]= "", "", 100-(100/(1+tbl_APHA[[#This Row],[RS]])))</f>
        <v>49.565217391304316</v>
      </c>
      <c r="J33" s="10">
        <f ca="1">IF(ROW($N33)-4&lt;BB_Periods, "", AVERAGE(INDIRECT(ADDRESS(ROW($F33)-RSI_Periods +1, MATCH("Adj Close", Price_Header,0))): INDIRECT(ADDRESS(ROW($F33),MATCH("Adj Close", Price_Header,0)))))</f>
        <v>4.6428571428571432</v>
      </c>
      <c r="K33" s="10">
        <f ca="1">IF(tbl_APHA[[#This Row],[BB_Mean]]="", "", tbl_APHA[[#This Row],[BB_Mean]]+(BB_Width*tbl_APHA[[#This Row],[BB_Stdev]]))</f>
        <v>4.8672782540851989</v>
      </c>
      <c r="L33" s="10">
        <f ca="1">IF(tbl_APHA[[#This Row],[BB_Mean]]="", "", tbl_APHA[[#This Row],[BB_Mean]]-(BB_Width*tbl_APHA[[#This Row],[BB_Stdev]]))</f>
        <v>4.4184360316290876</v>
      </c>
      <c r="M33" s="46">
        <f>IF(ROW(tbl_APHA[[#This Row],[Adj Close]])=5, 0, $F33-$F32)</f>
        <v>1.9999999999999574E-2</v>
      </c>
      <c r="N33" s="46">
        <f>MAX(tbl_APHA[[#This Row],[Move]],0)</f>
        <v>1.9999999999999574E-2</v>
      </c>
      <c r="O33" s="46">
        <f>MAX(-tbl_APHA[[#This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4.0714285714285668E-2</v>
      </c>
      <c r="Q33" s="46">
        <f ca="1">IF(ROW($O33)-5&lt;RSI_Periods, "", AVERAGE(INDIRECT(ADDRESS(ROW($O33)-RSI_Periods +1, MATCH("Downmove", Price_Header,0))): INDIRECT(ADDRESS(ROW($O33),MATCH("Downmove", Price_Header,0)))))</f>
        <v>4.1428571428571433E-2</v>
      </c>
      <c r="R33" s="46">
        <f ca="1">IF(tbl_APHA[[#This Row],[Avg_Upmove]]="", "", tbl_APHA[[#This Row],[Avg_Upmove]]/tbl_APHA[[#This Row],[Avg_Downmove]])</f>
        <v>0.98275862068965392</v>
      </c>
      <c r="S33" s="10">
        <f ca="1">IF(ROW($N33)-4&lt;BB_Periods, "", _xlfn.STDEV.S(INDIRECT(ADDRESS(ROW($F33)-RSI_Periods +1, MATCH("Adj Close", Price_Header,0))): INDIRECT(ADDRESS(ROW($F33),MATCH("Adj Close", Price_Header,0)))))</f>
        <v>0.11221055561402765</v>
      </c>
    </row>
    <row r="34" spans="1:19" x14ac:dyDescent="0.35">
      <c r="A34" s="8">
        <v>44095</v>
      </c>
      <c r="B34" s="10">
        <v>4.5599999999999996</v>
      </c>
      <c r="C34" s="10">
        <v>4.59</v>
      </c>
      <c r="D34" s="10">
        <v>4.4000000000000004</v>
      </c>
      <c r="E34" s="10">
        <v>4.4400000000000004</v>
      </c>
      <c r="F34" s="10">
        <v>4.4400000000000004</v>
      </c>
      <c r="G34">
        <v>3691800</v>
      </c>
      <c r="H34" s="10">
        <f>IF(tbl_APHA[[#This Row],[Date]]=$A$5, $F34, EMA_Beta*$H33 + (1-EMA_Beta)*$F34)</f>
        <v>4.6053101854582588</v>
      </c>
      <c r="I34" s="46">
        <f ca="1">IF(tbl_APHA[[#This Row],[RS]]= "", "", 100-(100/(1+tbl_APHA[[#This Row],[RS]])))</f>
        <v>32.231404958677686</v>
      </c>
      <c r="J34" s="10">
        <f ca="1">IF(ROW($N34)-4&lt;BB_Periods, "", AVERAGE(INDIRECT(ADDRESS(ROW($F34)-RSI_Periods +1, MATCH("Adj Close", Price_Header,0))): INDIRECT(ADDRESS(ROW($F34),MATCH("Adj Close", Price_Header,0)))))</f>
        <v>4.6121428571428575</v>
      </c>
      <c r="K34" s="10">
        <f ca="1">IF(tbl_APHA[[#This Row],[BB_Mean]]="", "", tbl_APHA[[#This Row],[BB_Mean]]+(BB_Width*tbl_APHA[[#This Row],[BB_Stdev]]))</f>
        <v>4.819719137309721</v>
      </c>
      <c r="L34" s="10">
        <f ca="1">IF(tbl_APHA[[#This Row],[BB_Mean]]="", "", tbl_APHA[[#This Row],[BB_Mean]]-(BB_Width*tbl_APHA[[#This Row],[BB_Stdev]]))</f>
        <v>4.4045665769759941</v>
      </c>
      <c r="M34" s="46">
        <f>IF(ROW(tbl_APHA[[#This Row],[Adj Close]])=5, 0, $F34-$F33)</f>
        <v>-0.23999999999999932</v>
      </c>
      <c r="N34" s="46">
        <f>MAX(tbl_APHA[[#This Row],[Move]],0)</f>
        <v>0</v>
      </c>
      <c r="O34" s="46">
        <f>MAX(-tbl_APHA[[#This Row],[Move]],0)</f>
        <v>0.23999999999999932</v>
      </c>
      <c r="P34" s="46">
        <f ca="1">IF(ROW($N34)-5&lt;RSI_Periods, "", AVERAGE(INDIRECT(ADDRESS(ROW($N34)-RSI_Periods +1, MATCH("Upmove", Price_Header,0))): INDIRECT(ADDRESS(ROW($N34),MATCH("Upmove", Price_Header,0)))))</f>
        <v>2.7857142857142834E-2</v>
      </c>
      <c r="Q34" s="46">
        <f ca="1">IF(ROW($O34)-5&lt;RSI_Periods, "", AVERAGE(INDIRECT(ADDRESS(ROW($O34)-RSI_Periods +1, MATCH("Downmove", Price_Header,0))): INDIRECT(ADDRESS(ROW($O34),MATCH("Downmove", Price_Header,0)))))</f>
        <v>5.8571428571428531E-2</v>
      </c>
      <c r="R34" s="46">
        <f ca="1">IF(tbl_APHA[[#This Row],[Avg_Upmove]]="", "", tbl_APHA[[#This Row],[Avg_Upmove]]/tbl_APHA[[#This Row],[Avg_Downmove]])</f>
        <v>0.4756097560975609</v>
      </c>
      <c r="S34" s="10">
        <f ca="1">IF(ROW($N34)-4&lt;BB_Periods, "", _xlfn.STDEV.S(INDIRECT(ADDRESS(ROW($F34)-RSI_Periods +1, MATCH("Adj Close", Price_Header,0))): INDIRECT(ADDRESS(ROW($F34),MATCH("Adj Close", Price_Header,0)))))</f>
        <v>0.10378814008343154</v>
      </c>
    </row>
    <row r="35" spans="1:19" x14ac:dyDescent="0.35">
      <c r="A35" s="8">
        <v>44096</v>
      </c>
      <c r="B35" s="10">
        <v>4.47</v>
      </c>
      <c r="C35" s="10">
        <v>4.5599999999999996</v>
      </c>
      <c r="D35" s="10">
        <v>4.38</v>
      </c>
      <c r="E35" s="10">
        <v>4.54</v>
      </c>
      <c r="F35" s="10">
        <v>4.54</v>
      </c>
      <c r="G35">
        <v>2802800</v>
      </c>
      <c r="H35" s="10">
        <f>IF(tbl_APHA[[#This Row],[Date]]=$A$5, $F35, EMA_Beta*$H34 + (1-EMA_Beta)*$F35)</f>
        <v>4.5987791669124327</v>
      </c>
      <c r="I35" s="46">
        <f ca="1">IF(tbl_APHA[[#This Row],[RS]]= "", "", 100-(100/(1+tbl_APHA[[#This Row],[RS]])))</f>
        <v>40.163934426229496</v>
      </c>
      <c r="J35" s="10">
        <f ca="1">IF(ROW($N35)-4&lt;BB_Periods, "", AVERAGE(INDIRECT(ADDRESS(ROW($F35)-RSI_Periods +1, MATCH("Adj Close", Price_Header,0))): INDIRECT(ADDRESS(ROW($F35),MATCH("Adj Close", Price_Header,0)))))</f>
        <v>4.5949999999999998</v>
      </c>
      <c r="K35" s="10">
        <f ca="1">IF(tbl_APHA[[#This Row],[BB_Mean]]="", "", tbl_APHA[[#This Row],[BB_Mean]]+(BB_Width*tbl_APHA[[#This Row],[BB_Stdev]]))</f>
        <v>4.7814238347257287</v>
      </c>
      <c r="L35" s="10">
        <f ca="1">IF(tbl_APHA[[#This Row],[BB_Mean]]="", "", tbl_APHA[[#This Row],[BB_Mean]]-(BB_Width*tbl_APHA[[#This Row],[BB_Stdev]]))</f>
        <v>4.4085761652742708</v>
      </c>
      <c r="M35" s="46">
        <f>IF(ROW(tbl_APHA[[#This Row],[Adj Close]])=5, 0, $F35-$F34)</f>
        <v>9.9999999999999645E-2</v>
      </c>
      <c r="N35" s="46">
        <f>MAX(tbl_APHA[[#This Row],[Move]],0)</f>
        <v>9.9999999999999645E-2</v>
      </c>
      <c r="O35" s="46">
        <f>MAX(-tbl_APHA[[#This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3.4999999999999955E-2</v>
      </c>
      <c r="Q35" s="46">
        <f ca="1">IF(ROW($O35)-5&lt;RSI_Periods, "", AVERAGE(INDIRECT(ADDRESS(ROW($O35)-RSI_Periods +1, MATCH("Downmove", Price_Header,0))): INDIRECT(ADDRESS(ROW($O35),MATCH("Downmove", Price_Header,0)))))</f>
        <v>5.2142857142857109E-2</v>
      </c>
      <c r="R35" s="46">
        <f ca="1">IF(tbl_APHA[[#This Row],[Avg_Upmove]]="", "", tbl_APHA[[#This Row],[Avg_Upmove]]/tbl_APHA[[#This Row],[Avg_Downmove]])</f>
        <v>0.67123287671232834</v>
      </c>
      <c r="S35" s="10">
        <f ca="1">IF(ROW($N35)-4&lt;BB_Periods, "", _xlfn.STDEV.S(INDIRECT(ADDRESS(ROW($F35)-RSI_Periods +1, MATCH("Adj Close", Price_Header,0))): INDIRECT(ADDRESS(ROW($F35),MATCH("Adj Close", Price_Header,0)))))</f>
        <v>9.3211917362864702E-2</v>
      </c>
    </row>
    <row r="36" spans="1:19" x14ac:dyDescent="0.35">
      <c r="A36" s="8">
        <v>44097</v>
      </c>
      <c r="B36" s="10">
        <v>4.5</v>
      </c>
      <c r="C36" s="10">
        <v>4.5</v>
      </c>
      <c r="D36" s="10">
        <v>4.33</v>
      </c>
      <c r="E36" s="10">
        <v>4.4400000000000004</v>
      </c>
      <c r="F36" s="10">
        <v>4.4400000000000004</v>
      </c>
      <c r="G36">
        <v>5572600</v>
      </c>
      <c r="H36" s="10">
        <f>IF(tbl_APHA[[#This Row],[Date]]=$A$5, $F36, EMA_Beta*$H35 + (1-EMA_Beta)*$F36)</f>
        <v>4.5829012502211892</v>
      </c>
      <c r="I36" s="46">
        <f ca="1">IF(tbl_APHA[[#This Row],[RS]]= "", "", 100-(100/(1+tbl_APHA[[#This Row],[RS]])))</f>
        <v>38.8888888888889</v>
      </c>
      <c r="J36" s="10">
        <f ca="1">IF(ROW($N36)-4&lt;BB_Periods, "", AVERAGE(INDIRECT(ADDRESS(ROW($F36)-RSI_Periods +1, MATCH("Adj Close", Price_Header,0))): INDIRECT(ADDRESS(ROW($F36),MATCH("Adj Close", Price_Header,0)))))</f>
        <v>4.5750000000000002</v>
      </c>
      <c r="K36" s="10">
        <f ca="1">IF(tbl_APHA[[#This Row],[BB_Mean]]="", "", tbl_APHA[[#This Row],[BB_Mean]]+(BB_Width*tbl_APHA[[#This Row],[BB_Stdev]]))</f>
        <v>4.7637203873866962</v>
      </c>
      <c r="L36" s="10">
        <f ca="1">IF(tbl_APHA[[#This Row],[BB_Mean]]="", "", tbl_APHA[[#This Row],[BB_Mean]]-(BB_Width*tbl_APHA[[#This Row],[BB_Stdev]]))</f>
        <v>4.3862796126133041</v>
      </c>
      <c r="M36" s="46">
        <f>IF(ROW(tbl_APHA[[#This Row],[Adj Close]])=5, 0, $F36-$F35)</f>
        <v>-9.9999999999999645E-2</v>
      </c>
      <c r="N36" s="46">
        <f>MAX(tbl_APHA[[#This Row],[Move]],0)</f>
        <v>0</v>
      </c>
      <c r="O36" s="46">
        <f>MAX(-tbl_APHA[[#This Row],[Move]],0)</f>
        <v>9.9999999999999645E-2</v>
      </c>
      <c r="P36" s="46">
        <f ca="1">IF(ROW($N36)-5&lt;RSI_Periods, "", AVERAGE(INDIRECT(ADDRESS(ROW($N36)-RSI_Periods +1, MATCH("Upmove", Price_Header,0))): INDIRECT(ADDRESS(ROW($N36),MATCH("Upmove", Price_Header,0)))))</f>
        <v>3.4999999999999955E-2</v>
      </c>
      <c r="Q36" s="46">
        <f ca="1">IF(ROW($O36)-5&lt;RSI_Periods, "", AVERAGE(INDIRECT(ADDRESS(ROW($O36)-RSI_Periods +1, MATCH("Downmove", Price_Header,0))): INDIRECT(ADDRESS(ROW($O36),MATCH("Downmove", Price_Header,0)))))</f>
        <v>5.4999999999999903E-2</v>
      </c>
      <c r="R36" s="46">
        <f ca="1">IF(tbl_APHA[[#This Row],[Avg_Upmove]]="", "", tbl_APHA[[#This Row],[Avg_Upmove]]/tbl_APHA[[#This Row],[Avg_Downmove]])</f>
        <v>0.63636363636363669</v>
      </c>
      <c r="S36" s="10">
        <f ca="1">IF(ROW($N36)-4&lt;BB_Periods, "", _xlfn.STDEV.S(INDIRECT(ADDRESS(ROW($F36)-RSI_Periods +1, MATCH("Adj Close", Price_Header,0))): INDIRECT(ADDRESS(ROW($F36),MATCH("Adj Close", Price_Header,0)))))</f>
        <v>9.4360193693347888E-2</v>
      </c>
    </row>
    <row r="37" spans="1:19" x14ac:dyDescent="0.35">
      <c r="A37" s="8">
        <v>44098</v>
      </c>
      <c r="B37" s="10">
        <v>4.32</v>
      </c>
      <c r="C37" s="10">
        <v>4.3499999999999996</v>
      </c>
      <c r="D37" s="10">
        <v>4.17</v>
      </c>
      <c r="E37" s="10">
        <v>4.22</v>
      </c>
      <c r="F37" s="10">
        <v>4.22</v>
      </c>
      <c r="G37">
        <v>4195900</v>
      </c>
      <c r="H37" s="10">
        <f>IF(tbl_APHA[[#This Row],[Date]]=$A$5, $F37, EMA_Beta*$H36 + (1-EMA_Beta)*$F37)</f>
        <v>4.5466111251990702</v>
      </c>
      <c r="I37" s="46">
        <f ca="1">IF(tbl_APHA[[#This Row],[RS]]= "", "", 100-(100/(1+tbl_APHA[[#This Row],[RS]])))</f>
        <v>33.561643835616422</v>
      </c>
      <c r="J37" s="10">
        <f ca="1">IF(ROW($N37)-4&lt;BB_Periods, "", AVERAGE(INDIRECT(ADDRESS(ROW($F37)-RSI_Periods +1, MATCH("Adj Close", Price_Header,0))): INDIRECT(ADDRESS(ROW($F37),MATCH("Adj Close", Price_Header,0)))))</f>
        <v>4.5407142857142855</v>
      </c>
      <c r="K37" s="10">
        <f ca="1">IF(tbl_APHA[[#This Row],[BB_Mean]]="", "", tbl_APHA[[#This Row],[BB_Mean]]+(BB_Width*tbl_APHA[[#This Row],[BB_Stdev]]))</f>
        <v>4.7947238901013618</v>
      </c>
      <c r="L37" s="10">
        <f ca="1">IF(tbl_APHA[[#This Row],[BB_Mean]]="", "", tbl_APHA[[#This Row],[BB_Mean]]-(BB_Width*tbl_APHA[[#This Row],[BB_Stdev]]))</f>
        <v>4.2867046813272092</v>
      </c>
      <c r="M37" s="46">
        <f>IF(ROW(tbl_APHA[[#This Row],[Adj Close]])=5, 0, $F37-$F36)</f>
        <v>-0.22000000000000064</v>
      </c>
      <c r="N37" s="46">
        <f>MAX(tbl_APHA[[#This Row],[Move]],0)</f>
        <v>0</v>
      </c>
      <c r="O37" s="46">
        <f>MAX(-tbl_APHA[[#This Row],[Move]],0)</f>
        <v>0.22000000000000064</v>
      </c>
      <c r="P37" s="46">
        <f ca="1">IF(ROW($N37)-5&lt;RSI_Periods, "", AVERAGE(INDIRECT(ADDRESS(ROW($N37)-RSI_Periods +1, MATCH("Upmove", Price_Header,0))): INDIRECT(ADDRESS(ROW($N37),MATCH("Upmove", Price_Header,0)))))</f>
        <v>3.4999999999999955E-2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IF(tbl_APHA[[#This Row],[Avg_Upmove]]="", "", tbl_APHA[[#This Row],[Avg_Upmove]]/tbl_APHA[[#This Row],[Avg_Downmove]])</f>
        <v>0.50515463917525716</v>
      </c>
      <c r="S37" s="10">
        <f ca="1">IF(ROW($N37)-4&lt;BB_Periods, "", _xlfn.STDEV.S(INDIRECT(ADDRESS(ROW($F37)-RSI_Periods +1, MATCH("Adj Close", Price_Header,0))): INDIRECT(ADDRESS(ROW($F37),MATCH("Adj Close", Price_Header,0)))))</f>
        <v>0.12700480219353821</v>
      </c>
    </row>
    <row r="38" spans="1:19" x14ac:dyDescent="0.35">
      <c r="A38" s="8">
        <v>44099</v>
      </c>
      <c r="B38" s="10">
        <v>4.22</v>
      </c>
      <c r="C38" s="10">
        <v>4.28</v>
      </c>
      <c r="D38" s="10">
        <v>4.17</v>
      </c>
      <c r="E38" s="10">
        <v>4.2300000000000004</v>
      </c>
      <c r="F38" s="10">
        <v>4.2300000000000004</v>
      </c>
      <c r="G38">
        <v>1974300</v>
      </c>
      <c r="H38" s="10">
        <f>IF(tbl_APHA[[#This Row],[Date]]=$A$5, $F38, EMA_Beta*$H37 + (1-EMA_Beta)*$F38)</f>
        <v>4.5149500126791633</v>
      </c>
      <c r="I38" s="46">
        <f ca="1">IF(tbl_APHA[[#This Row],[RS]]= "", "", 100-(100/(1+tbl_APHA[[#This Row],[RS]])))</f>
        <v>36.764705882352956</v>
      </c>
      <c r="J38" s="10">
        <f ca="1">IF(ROW($N38)-4&lt;BB_Periods, "", AVERAGE(INDIRECT(ADDRESS(ROW($F38)-RSI_Periods +1, MATCH("Adj Close", Price_Header,0))): INDIRECT(ADDRESS(ROW($F38),MATCH("Adj Close", Price_Header,0)))))</f>
        <v>4.5149999999999997</v>
      </c>
      <c r="K38" s="10">
        <f ca="1">IF(tbl_APHA[[#This Row],[BB_Mean]]="", "", tbl_APHA[[#This Row],[BB_Mean]]+(BB_Width*tbl_APHA[[#This Row],[BB_Stdev]]))</f>
        <v>4.816049446488063</v>
      </c>
      <c r="L38" s="10">
        <f ca="1">IF(tbl_APHA[[#This Row],[BB_Mean]]="", "", tbl_APHA[[#This Row],[BB_Mean]]-(BB_Width*tbl_APHA[[#This Row],[BB_Stdev]]))</f>
        <v>4.2139505535119364</v>
      </c>
      <c r="M38" s="46">
        <f>IF(ROW(tbl_APHA[[#This Row],[Adj Close]])=5, 0, $F38-$F37)</f>
        <v>1.0000000000000675E-2</v>
      </c>
      <c r="N38" s="46">
        <f>MAX(tbl_APHA[[#This Row],[Move]],0)</f>
        <v>1.0000000000000675E-2</v>
      </c>
      <c r="O38" s="46">
        <f>MAX(-tbl_APHA[[#This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3.5714285714285712E-2</v>
      </c>
      <c r="Q38" s="46">
        <f ca="1">IF(ROW($O38)-5&lt;RSI_Periods, "", AVERAGE(INDIRECT(ADDRESS(ROW($O38)-RSI_Periods +1, MATCH("Downmove", Price_Header,0))): INDIRECT(ADDRESS(ROW($O38),MATCH("Downmove", Price_Header,0)))))</f>
        <v>6.1428571428571388E-2</v>
      </c>
      <c r="R38" s="46">
        <f ca="1">IF(tbl_APHA[[#This Row],[Avg_Upmove]]="", "", tbl_APHA[[#This Row],[Avg_Upmove]]/tbl_APHA[[#This Row],[Avg_Downmove]])</f>
        <v>0.58139534883720967</v>
      </c>
      <c r="S38" s="10">
        <f ca="1">IF(ROW($N38)-4&lt;BB_Periods, "", _xlfn.STDEV.S(INDIRECT(ADDRESS(ROW($F38)-RSI_Periods +1, MATCH("Adj Close", Price_Header,0))): INDIRECT(ADDRESS(ROW($F38),MATCH("Adj Close", Price_Header,0)))))</f>
        <v>0.15052472324403152</v>
      </c>
    </row>
    <row r="39" spans="1:19" x14ac:dyDescent="0.35">
      <c r="A39" s="8">
        <v>44102</v>
      </c>
      <c r="B39" s="10">
        <v>4.26</v>
      </c>
      <c r="C39" s="10">
        <v>4.32</v>
      </c>
      <c r="D39" s="10">
        <v>4.21</v>
      </c>
      <c r="E39" s="10">
        <v>4.3099999999999996</v>
      </c>
      <c r="F39" s="10">
        <v>4.3099999999999996</v>
      </c>
      <c r="G39">
        <v>2082000</v>
      </c>
      <c r="H39" s="10">
        <f>IF(tbl_APHA[[#This Row],[Date]]=$A$5, $F39, EMA_Beta*$H38 + (1-EMA_Beta)*$F39)</f>
        <v>4.4944550114112474</v>
      </c>
      <c r="I39" s="46">
        <f ca="1">IF(tbl_APHA[[#This Row],[RS]]= "", "", 100-(100/(1+tbl_APHA[[#This Row],[RS]])))</f>
        <v>44.961240310077486</v>
      </c>
      <c r="J39" s="10">
        <f ca="1">IF(ROW($N39)-4&lt;BB_Periods, "", AVERAGE(INDIRECT(ADDRESS(ROW($F39)-RSI_Periods +1, MATCH("Adj Close", Price_Header,0))): INDIRECT(ADDRESS(ROW($F39),MATCH("Adj Close", Price_Header,0)))))</f>
        <v>4.5057142857142853</v>
      </c>
      <c r="K39" s="10">
        <f ca="1">IF(tbl_APHA[[#This Row],[BB_Mean]]="", "", tbl_APHA[[#This Row],[BB_Mean]]+(BB_Width*tbl_APHA[[#This Row],[BB_Stdev]]))</f>
        <v>4.8242411145047983</v>
      </c>
      <c r="L39" s="10">
        <f ca="1">IF(tbl_APHA[[#This Row],[BB_Mean]]="", "", tbl_APHA[[#This Row],[BB_Mean]]-(BB_Width*tbl_APHA[[#This Row],[BB_Stdev]]))</f>
        <v>4.1871874569237724</v>
      </c>
      <c r="M39" s="46">
        <f>IF(ROW(tbl_APHA[[#This Row],[Adj Close]])=5, 0, $F39-$F38)</f>
        <v>7.9999999999999183E-2</v>
      </c>
      <c r="N39" s="46">
        <f>MAX(tbl_APHA[[#This Row],[Move]],0)</f>
        <v>7.9999999999999183E-2</v>
      </c>
      <c r="O39" s="46">
        <f>MAX(-tbl_APHA[[#This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4.142857142857137E-2</v>
      </c>
      <c r="Q39" s="46">
        <f ca="1">IF(ROW($O39)-5&lt;RSI_Periods, "", AVERAGE(INDIRECT(ADDRESS(ROW($O39)-RSI_Periods +1, MATCH("Downmove", Price_Header,0))): INDIRECT(ADDRESS(ROW($O39),MATCH("Downmove", Price_Header,0)))))</f>
        <v>5.0714285714285712E-2</v>
      </c>
      <c r="R39" s="46">
        <f ca="1">IF(tbl_APHA[[#This Row],[Avg_Upmove]]="", "", tbl_APHA[[#This Row],[Avg_Upmove]]/tbl_APHA[[#This Row],[Avg_Downmove]])</f>
        <v>0.81690140845070314</v>
      </c>
      <c r="S39" s="10">
        <f ca="1">IF(ROW($N39)-4&lt;BB_Periods, "", _xlfn.STDEV.S(INDIRECT(ADDRESS(ROW($F39)-RSI_Periods +1, MATCH("Adj Close", Price_Header,0))): INDIRECT(ADDRESS(ROW($F39),MATCH("Adj Close", Price_Header,0)))))</f>
        <v>0.15926341439525638</v>
      </c>
    </row>
    <row r="40" spans="1:19" x14ac:dyDescent="0.35">
      <c r="A40" s="8">
        <v>44103</v>
      </c>
      <c r="B40" s="10">
        <v>4.3</v>
      </c>
      <c r="C40" s="10">
        <v>4.4400000000000004</v>
      </c>
      <c r="D40" s="10">
        <v>4.2699999999999996</v>
      </c>
      <c r="E40" s="10">
        <v>4.34</v>
      </c>
      <c r="F40" s="10">
        <v>4.34</v>
      </c>
      <c r="G40">
        <v>2929900</v>
      </c>
      <c r="H40" s="10">
        <f>IF(tbl_APHA[[#This Row],[Date]]=$A$5, $F40, EMA_Beta*$H39 + (1-EMA_Beta)*$F40)</f>
        <v>4.4790095102701226</v>
      </c>
      <c r="I40" s="46">
        <f ca="1">IF(tbl_APHA[[#This Row],[RS]]= "", "", 100-(100/(1+tbl_APHA[[#This Row],[RS]])))</f>
        <v>43.2</v>
      </c>
      <c r="J40" s="10">
        <f ca="1">IF(ROW($N40)-4&lt;BB_Periods, "", AVERAGE(INDIRECT(ADDRESS(ROW($F40)-RSI_Periods +1, MATCH("Adj Close", Price_Header,0))): INDIRECT(ADDRESS(ROW($F40),MATCH("Adj Close", Price_Header,0)))))</f>
        <v>4.4935714285714283</v>
      </c>
      <c r="K40" s="10">
        <f ca="1">IF(tbl_APHA[[#This Row],[BB_Mean]]="", "", tbl_APHA[[#This Row],[BB_Mean]]+(BB_Width*tbl_APHA[[#This Row],[BB_Stdev]]))</f>
        <v>4.8241287335400704</v>
      </c>
      <c r="L40" s="10">
        <f ca="1">IF(tbl_APHA[[#This Row],[BB_Mean]]="", "", tbl_APHA[[#This Row],[BB_Mean]]-(BB_Width*tbl_APHA[[#This Row],[BB_Stdev]]))</f>
        <v>4.1630141236027862</v>
      </c>
      <c r="M40" s="46">
        <f>IF(ROW(tbl_APHA[[#This Row],[Adj Close]])=5, 0, $F40-$F39)</f>
        <v>3.0000000000000249E-2</v>
      </c>
      <c r="N40" s="46">
        <f>MAX(tbl_APHA[[#This Row],[Move]],0)</f>
        <v>3.0000000000000249E-2</v>
      </c>
      <c r="O40" s="46">
        <f>MAX(-tbl_APHA[[#This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3.8571428571428576E-2</v>
      </c>
      <c r="Q40" s="46">
        <f ca="1">IF(ROW($O40)-5&lt;RSI_Periods, "", AVERAGE(INDIRECT(ADDRESS(ROW($O40)-RSI_Periods +1, MATCH("Downmove", Price_Header,0))): INDIRECT(ADDRESS(ROW($O40),MATCH("Downmove", Price_Header,0)))))</f>
        <v>5.0714285714285712E-2</v>
      </c>
      <c r="R40" s="46">
        <f ca="1">IF(tbl_APHA[[#This Row],[Avg_Upmove]]="", "", tbl_APHA[[#This Row],[Avg_Upmove]]/tbl_APHA[[#This Row],[Avg_Downmove]])</f>
        <v>0.76056338028169024</v>
      </c>
      <c r="S40" s="10">
        <f ca="1">IF(ROW($N40)-4&lt;BB_Periods, "", _xlfn.STDEV.S(INDIRECT(ADDRESS(ROW($F40)-RSI_Periods +1, MATCH("Adj Close", Price_Header,0))): INDIRECT(ADDRESS(ROW($F40),MATCH("Adj Close", Price_Header,0)))))</f>
        <v>0.16527865248432105</v>
      </c>
    </row>
    <row r="41" spans="1:19" x14ac:dyDescent="0.35">
      <c r="A41" s="8">
        <v>44104</v>
      </c>
      <c r="B41" s="10">
        <v>4.3499999999999996</v>
      </c>
      <c r="C41" s="10">
        <v>4.49</v>
      </c>
      <c r="D41" s="10">
        <v>4.33</v>
      </c>
      <c r="E41" s="10">
        <v>4.43</v>
      </c>
      <c r="F41" s="10">
        <v>4.43</v>
      </c>
      <c r="G41">
        <v>2299300</v>
      </c>
      <c r="H41" s="10">
        <f>IF(tbl_APHA[[#This Row],[Date]]=$A$5, $F41, EMA_Beta*$H40 + (1-EMA_Beta)*$F41)</f>
        <v>4.4741085592431098</v>
      </c>
      <c r="I41" s="46">
        <f ca="1">IF(tbl_APHA[[#This Row],[RS]]= "", "", 100-(100/(1+tbl_APHA[[#This Row],[RS]])))</f>
        <v>41.803278688524578</v>
      </c>
      <c r="J41" s="10">
        <f ca="1">IF(ROW($N41)-4&lt;BB_Periods, "", AVERAGE(INDIRECT(ADDRESS(ROW($F41)-RSI_Periods +1, MATCH("Adj Close", Price_Header,0))): INDIRECT(ADDRESS(ROW($F41),MATCH("Adj Close", Price_Header,0)))))</f>
        <v>4.4792857142857141</v>
      </c>
      <c r="K41" s="10">
        <f ca="1">IF(tbl_APHA[[#This Row],[BB_Mean]]="", "", tbl_APHA[[#This Row],[BB_Mean]]+(BB_Width*tbl_APHA[[#This Row],[BB_Stdev]]))</f>
        <v>4.801629466366462</v>
      </c>
      <c r="L41" s="10">
        <f ca="1">IF(tbl_APHA[[#This Row],[BB_Mean]]="", "", tbl_APHA[[#This Row],[BB_Mean]]-(BB_Width*tbl_APHA[[#This Row],[BB_Stdev]]))</f>
        <v>4.1569419622049661</v>
      </c>
      <c r="M41" s="46">
        <f>IF(ROW(tbl_APHA[[#This Row],[Adj Close]])=5, 0, $F41-$F40)</f>
        <v>8.9999999999999858E-2</v>
      </c>
      <c r="N41" s="46">
        <f>MAX(tbl_APHA[[#This Row],[Move]],0)</f>
        <v>8.9999999999999858E-2</v>
      </c>
      <c r="O41" s="46">
        <f>MAX(-tbl_APHA[[#This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3.6428571428571414E-2</v>
      </c>
      <c r="Q41" s="46">
        <f ca="1">IF(ROW($O41)-5&lt;RSI_Periods, "", AVERAGE(INDIRECT(ADDRESS(ROW($O41)-RSI_Periods +1, MATCH("Downmove", Price_Header,0))): INDIRECT(ADDRESS(ROW($O41),MATCH("Downmove", Price_Header,0)))))</f>
        <v>5.0714285714285712E-2</v>
      </c>
      <c r="R41" s="46">
        <f ca="1">IF(tbl_APHA[[#This Row],[Avg_Upmove]]="", "", tbl_APHA[[#This Row],[Avg_Upmove]]/tbl_APHA[[#This Row],[Avg_Downmove]])</f>
        <v>0.71830985915492929</v>
      </c>
      <c r="S41" s="10">
        <f ca="1">IF(ROW($N41)-4&lt;BB_Periods, "", _xlfn.STDEV.S(INDIRECT(ADDRESS(ROW($F41)-RSI_Periods +1, MATCH("Adj Close", Price_Header,0))): INDIRECT(ADDRESS(ROW($F41),MATCH("Adj Close", Price_Header,0)))))</f>
        <v>0.16117187604037381</v>
      </c>
    </row>
    <row r="42" spans="1:19" x14ac:dyDescent="0.35">
      <c r="A42" s="8">
        <v>44105</v>
      </c>
      <c r="B42" s="10">
        <v>4.45</v>
      </c>
      <c r="C42" s="10">
        <v>4.47</v>
      </c>
      <c r="D42" s="10">
        <v>4.3600000000000003</v>
      </c>
      <c r="E42" s="10">
        <v>4.4000000000000004</v>
      </c>
      <c r="F42" s="10">
        <v>4.4000000000000004</v>
      </c>
      <c r="G42">
        <v>1819900</v>
      </c>
      <c r="H42" s="10">
        <f>IF(tbl_APHA[[#This Row],[Date]]=$A$5, $F42, EMA_Beta*$H41 + (1-EMA_Beta)*$F42)</f>
        <v>4.4666977033187987</v>
      </c>
      <c r="I42" s="46">
        <f ca="1">IF(tbl_APHA[[#This Row],[RS]]= "", "", 100-(100/(1+tbl_APHA[[#This Row],[RS]])))</f>
        <v>45.535714285714299</v>
      </c>
      <c r="J42" s="10">
        <f ca="1">IF(ROW($N42)-4&lt;BB_Periods, "", AVERAGE(INDIRECT(ADDRESS(ROW($F42)-RSI_Periods +1, MATCH("Adj Close", Price_Header,0))): INDIRECT(ADDRESS(ROW($F42),MATCH("Adj Close", Price_Header,0)))))</f>
        <v>4.472142857142857</v>
      </c>
      <c r="K42" s="10">
        <f ca="1">IF(tbl_APHA[[#This Row],[BB_Mean]]="", "", tbl_APHA[[#This Row],[BB_Mean]]+(BB_Width*tbl_APHA[[#This Row],[BB_Stdev]]))</f>
        <v>4.7969318841864315</v>
      </c>
      <c r="L42" s="10">
        <f ca="1">IF(tbl_APHA[[#This Row],[BB_Mean]]="", "", tbl_APHA[[#This Row],[BB_Mean]]-(BB_Width*tbl_APHA[[#This Row],[BB_Stdev]]))</f>
        <v>4.1473538300992825</v>
      </c>
      <c r="M42" s="46">
        <f>IF(ROW(tbl_APHA[[#This Row],[Adj Close]])=5, 0, $F42-$F41)</f>
        <v>-2.9999999999999361E-2</v>
      </c>
      <c r="N42" s="46">
        <f>MAX(tbl_APHA[[#This Row],[Move]],0)</f>
        <v>0</v>
      </c>
      <c r="O42" s="46">
        <f>MAX(-tbl_APHA[[#This Row],[Move]],0)</f>
        <v>2.9999999999999361E-2</v>
      </c>
      <c r="P42" s="46">
        <f ca="1">IF(ROW($N42)-5&lt;RSI_Periods, "", AVERAGE(INDIRECT(ADDRESS(ROW($N42)-RSI_Periods +1, MATCH("Upmove", Price_Header,0))): INDIRECT(ADDRESS(ROW($N42),MATCH("Upmove", Price_Header,0)))))</f>
        <v>3.6428571428571414E-2</v>
      </c>
      <c r="Q42" s="46">
        <f ca="1">IF(ROW($O42)-5&lt;RSI_Periods, "", AVERAGE(INDIRECT(ADDRESS(ROW($O42)-RSI_Periods +1, MATCH("Downmove", Price_Header,0))): INDIRECT(ADDRESS(ROW($O42),MATCH("Downmove", Price_Header,0)))))</f>
        <v>4.3571428571428532E-2</v>
      </c>
      <c r="R42" s="46">
        <f ca="1">IF(tbl_APHA[[#This Row],[Avg_Upmove]]="", "", tbl_APHA[[#This Row],[Avg_Upmove]]/tbl_APHA[[#This Row],[Avg_Downmove]])</f>
        <v>0.83606557377049229</v>
      </c>
      <c r="S42" s="10">
        <f ca="1">IF(ROW($N42)-4&lt;BB_Periods, "", _xlfn.STDEV.S(INDIRECT(ADDRESS(ROW($F42)-RSI_Periods +1, MATCH("Adj Close", Price_Header,0))): INDIRECT(ADDRESS(ROW($F42),MATCH("Adj Close", Price_Header,0)))))</f>
        <v>0.16239451352178746</v>
      </c>
    </row>
    <row r="43" spans="1:19" x14ac:dyDescent="0.35">
      <c r="A43" s="8">
        <v>44106</v>
      </c>
      <c r="B43" s="10">
        <v>4.29</v>
      </c>
      <c r="C43" s="10">
        <v>4.42</v>
      </c>
      <c r="D43" s="10">
        <v>4.28</v>
      </c>
      <c r="E43" s="10">
        <v>4.41</v>
      </c>
      <c r="F43" s="10">
        <v>4.41</v>
      </c>
      <c r="G43">
        <v>1747300</v>
      </c>
      <c r="H43" s="10">
        <f>IF(tbl_APHA[[#This Row],[Date]]=$A$5, $F43, EMA_Beta*$H42 + (1-EMA_Beta)*$F43)</f>
        <v>4.4610279329869185</v>
      </c>
      <c r="I43" s="46">
        <f ca="1">IF(tbl_APHA[[#This Row],[RS]]= "", "", 100-(100/(1+tbl_APHA[[#This Row],[RS]])))</f>
        <v>37.755102040816304</v>
      </c>
      <c r="J43" s="10">
        <f ca="1">IF(ROW($N43)-4&lt;BB_Periods, "", AVERAGE(INDIRECT(ADDRESS(ROW($F43)-RSI_Periods +1, MATCH("Adj Close", Price_Header,0))): INDIRECT(ADDRESS(ROW($F43),MATCH("Adj Close", Price_Header,0)))))</f>
        <v>4.4550000000000001</v>
      </c>
      <c r="K43" s="10">
        <f ca="1">IF(tbl_APHA[[#This Row],[BB_Mean]]="", "", tbl_APHA[[#This Row],[BB_Mean]]+(BB_Width*tbl_APHA[[#This Row],[BB_Stdev]]))</f>
        <v>4.764316865167296</v>
      </c>
      <c r="L43" s="10">
        <f ca="1">IF(tbl_APHA[[#This Row],[BB_Mean]]="", "", tbl_APHA[[#This Row],[BB_Mean]]-(BB_Width*tbl_APHA[[#This Row],[BB_Stdev]]))</f>
        <v>4.1456831348327041</v>
      </c>
      <c r="M43" s="46">
        <f>IF(ROW(tbl_APHA[[#This Row],[Adj Close]])=5, 0, $F43-$F42)</f>
        <v>9.9999999999997868E-3</v>
      </c>
      <c r="N43" s="46">
        <f>MAX(tbl_APHA[[#This Row],[Move]],0)</f>
        <v>9.9999999999997868E-3</v>
      </c>
      <c r="O43" s="46">
        <f>MAX(-tbl_APHA[[#This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2.6428571428571374E-2</v>
      </c>
      <c r="Q43" s="46">
        <f ca="1">IF(ROW($O43)-5&lt;RSI_Periods, "", AVERAGE(INDIRECT(ADDRESS(ROW($O43)-RSI_Periods +1, MATCH("Downmove", Price_Header,0))): INDIRECT(ADDRESS(ROW($O43),MATCH("Downmove", Price_Header,0)))))</f>
        <v>4.3571428571428532E-2</v>
      </c>
      <c r="R43" s="46">
        <f ca="1">IF(tbl_APHA[[#This Row],[Avg_Upmove]]="", "", tbl_APHA[[#This Row],[Avg_Upmove]]/tbl_APHA[[#This Row],[Avg_Downmove]])</f>
        <v>0.60655737704917967</v>
      </c>
      <c r="S43" s="10">
        <f ca="1">IF(ROW($N43)-4&lt;BB_Periods, "", _xlfn.STDEV.S(INDIRECT(ADDRESS(ROW($F43)-RSI_Periods +1, MATCH("Adj Close", Price_Header,0))): INDIRECT(ADDRESS(ROW($F43),MATCH("Adj Close", Price_Header,0)))))</f>
        <v>0.15465843258364786</v>
      </c>
    </row>
    <row r="44" spans="1:19" x14ac:dyDescent="0.35">
      <c r="A44" s="8">
        <v>44109</v>
      </c>
      <c r="B44" s="10">
        <v>4.47</v>
      </c>
      <c r="C44" s="10">
        <v>5.04</v>
      </c>
      <c r="D44" s="10">
        <v>4.45</v>
      </c>
      <c r="E44" s="10">
        <v>5.03</v>
      </c>
      <c r="F44" s="10">
        <v>5.03</v>
      </c>
      <c r="G44">
        <v>10130500</v>
      </c>
      <c r="H44" s="10">
        <f>IF(tbl_APHA[[#This Row],[Date]]=$A$5, $F44, EMA_Beta*$H43 + (1-EMA_Beta)*$F44)</f>
        <v>4.5179251396882272</v>
      </c>
      <c r="I44" s="46">
        <f ca="1">IF(tbl_APHA[[#This Row],[RS]]= "", "", 100-(100/(1+tbl_APHA[[#This Row],[RS]])))</f>
        <v>62.26415094339626</v>
      </c>
      <c r="J44" s="10">
        <f ca="1">IF(ROW($N44)-4&lt;BB_Periods, "", AVERAGE(INDIRECT(ADDRESS(ROW($F44)-RSI_Periods +1, MATCH("Adj Close", Price_Header,0))): INDIRECT(ADDRESS(ROW($F44),MATCH("Adj Close", Price_Header,0)))))</f>
        <v>4.4828571428571431</v>
      </c>
      <c r="K44" s="10">
        <f ca="1">IF(tbl_APHA[[#This Row],[BB_Mean]]="", "", tbl_APHA[[#This Row],[BB_Mean]]+(BB_Width*tbl_APHA[[#This Row],[BB_Stdev]]))</f>
        <v>4.9112659031948214</v>
      </c>
      <c r="L44" s="10">
        <f ca="1">IF(tbl_APHA[[#This Row],[BB_Mean]]="", "", tbl_APHA[[#This Row],[BB_Mean]]-(BB_Width*tbl_APHA[[#This Row],[BB_Stdev]]))</f>
        <v>4.0544483825194648</v>
      </c>
      <c r="M44" s="46">
        <f>IF(ROW(tbl_APHA[[#This Row],[Adj Close]])=5, 0, $F44-$F43)</f>
        <v>0.62000000000000011</v>
      </c>
      <c r="N44" s="46">
        <f>MAX(tbl_APHA[[#This Row],[Move]],0)</f>
        <v>0.62000000000000011</v>
      </c>
      <c r="O44" s="46">
        <f>MAX(-tbl_APHA[[#This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7.071428571428566E-2</v>
      </c>
      <c r="Q44" s="46">
        <f ca="1">IF(ROW($O44)-5&lt;RSI_Periods, "", AVERAGE(INDIRECT(ADDRESS(ROW($O44)-RSI_Periods +1, MATCH("Downmove", Price_Header,0))): INDIRECT(ADDRESS(ROW($O44),MATCH("Downmove", Price_Header,0)))))</f>
        <v>4.2857142857142767E-2</v>
      </c>
      <c r="R44" s="46">
        <f ca="1">IF(tbl_APHA[[#This Row],[Avg_Upmove]]="", "", tbl_APHA[[#This Row],[Avg_Upmove]]/tbl_APHA[[#This Row],[Avg_Downmove]])</f>
        <v>1.6500000000000021</v>
      </c>
      <c r="S44" s="10">
        <f ca="1">IF(ROW($N44)-4&lt;BB_Periods, "", _xlfn.STDEV.S(INDIRECT(ADDRESS(ROW($F44)-RSI_Periods +1, MATCH("Adj Close", Price_Header,0))): INDIRECT(ADDRESS(ROW($F44),MATCH("Adj Close", Price_Header,0)))))</f>
        <v>0.21420438016883897</v>
      </c>
    </row>
    <row r="45" spans="1:19" x14ac:dyDescent="0.35">
      <c r="A45" s="8">
        <v>44110</v>
      </c>
      <c r="B45" s="10">
        <v>5.1100000000000003</v>
      </c>
      <c r="C45" s="10">
        <v>5.22</v>
      </c>
      <c r="D45" s="10">
        <v>4.8600000000000003</v>
      </c>
      <c r="E45" s="10">
        <v>4.91</v>
      </c>
      <c r="F45" s="10">
        <v>4.91</v>
      </c>
      <c r="G45">
        <v>6544800</v>
      </c>
      <c r="H45" s="10">
        <f>IF(tbl_APHA[[#This Row],[Date]]=$A$5, $F45, EMA_Beta*$H44 + (1-EMA_Beta)*$F45)</f>
        <v>4.5571326257194045</v>
      </c>
      <c r="I45" s="46">
        <f ca="1">IF(tbl_APHA[[#This Row],[RS]]= "", "", 100-(100/(1+tbl_APHA[[#This Row],[RS]])))</f>
        <v>58.235294117647072</v>
      </c>
      <c r="J45" s="10">
        <f ca="1">IF(ROW($N45)-4&lt;BB_Periods, "", AVERAGE(INDIRECT(ADDRESS(ROW($F45)-RSI_Periods +1, MATCH("Adj Close", Price_Header,0))): INDIRECT(ADDRESS(ROW($F45),MATCH("Adj Close", Price_Header,0)))))</f>
        <v>4.5028571428571427</v>
      </c>
      <c r="K45" s="10">
        <f ca="1">IF(tbl_APHA[[#This Row],[BB_Mean]]="", "", tbl_APHA[[#This Row],[BB_Mean]]+(BB_Width*tbl_APHA[[#This Row],[BB_Stdev]]))</f>
        <v>4.9837811618954024</v>
      </c>
      <c r="L45" s="10">
        <f ca="1">IF(tbl_APHA[[#This Row],[BB_Mean]]="", "", tbl_APHA[[#This Row],[BB_Mean]]-(BB_Width*tbl_APHA[[#This Row],[BB_Stdev]]))</f>
        <v>4.0219331238188829</v>
      </c>
      <c r="M45" s="46">
        <f>IF(ROW(tbl_APHA[[#This Row],[Adj Close]])=5, 0, $F45-$F44)</f>
        <v>-0.12000000000000011</v>
      </c>
      <c r="N45" s="46">
        <f>MAX(tbl_APHA[[#This Row],[Move]],0)</f>
        <v>0</v>
      </c>
      <c r="O45" s="46">
        <f>MAX(-tbl_APHA[[#This Row],[Move]],0)</f>
        <v>0.12000000000000011</v>
      </c>
      <c r="P45" s="46">
        <f ca="1">IF(ROW($N45)-5&lt;RSI_Periods, "", AVERAGE(INDIRECT(ADDRESS(ROW($N45)-RSI_Periods +1, MATCH("Upmove", Price_Header,0))): INDIRECT(ADDRESS(ROW($N45),MATCH("Upmove", Price_Header,0)))))</f>
        <v>7.071428571428566E-2</v>
      </c>
      <c r="Q45" s="46">
        <f ca="1">IF(ROW($O45)-5&lt;RSI_Periods, "", AVERAGE(INDIRECT(ADDRESS(ROW($O45)-RSI_Periods +1, MATCH("Downmove", Price_Header,0))): INDIRECT(ADDRESS(ROW($O45),MATCH("Downmove", Price_Header,0)))))</f>
        <v>5.0714285714285649E-2</v>
      </c>
      <c r="R45" s="46">
        <f ca="1">IF(tbl_APHA[[#This Row],[Avg_Upmove]]="", "", tbl_APHA[[#This Row],[Avg_Upmove]]/tbl_APHA[[#This Row],[Avg_Downmove]])</f>
        <v>1.3943661971830994</v>
      </c>
      <c r="S45" s="10">
        <f ca="1">IF(ROW($N45)-4&lt;BB_Periods, "", _xlfn.STDEV.S(INDIRECT(ADDRESS(ROW($F45)-RSI_Periods +1, MATCH("Adj Close", Price_Header,0))): INDIRECT(ADDRESS(ROW($F45),MATCH("Adj Close", Price_Header,0)))))</f>
        <v>0.24046200951912974</v>
      </c>
    </row>
    <row r="46" spans="1:19" x14ac:dyDescent="0.35">
      <c r="A46" s="8">
        <v>44111</v>
      </c>
      <c r="B46" s="10">
        <v>5</v>
      </c>
      <c r="C46" s="10">
        <v>5.15</v>
      </c>
      <c r="D46" s="10">
        <v>4.9800000000000004</v>
      </c>
      <c r="E46" s="10">
        <v>5.14</v>
      </c>
      <c r="F46" s="10">
        <v>5.14</v>
      </c>
      <c r="G46">
        <v>5290900</v>
      </c>
      <c r="H46" s="10">
        <f>IF(tbl_APHA[[#This Row],[Date]]=$A$5, $F46, EMA_Beta*$H45 + (1-EMA_Beta)*$F46)</f>
        <v>4.6154193631474643</v>
      </c>
      <c r="I46" s="46">
        <f ca="1">IF(tbl_APHA[[#This Row],[RS]]= "", "", 100-(100/(1+tbl_APHA[[#This Row],[RS]])))</f>
        <v>62.631578947368418</v>
      </c>
      <c r="J46" s="10">
        <f ca="1">IF(ROW($N46)-4&lt;BB_Periods, "", AVERAGE(INDIRECT(ADDRESS(ROW($F46)-RSI_Periods +1, MATCH("Adj Close", Price_Header,0))): INDIRECT(ADDRESS(ROW($F46),MATCH("Adj Close", Price_Header,0)))))</f>
        <v>4.5371428571428565</v>
      </c>
      <c r="K46" s="10">
        <f ca="1">IF(tbl_APHA[[#This Row],[BB_Mean]]="", "", tbl_APHA[[#This Row],[BB_Mean]]+(BB_Width*tbl_APHA[[#This Row],[BB_Stdev]]))</f>
        <v>5.1232606490021944</v>
      </c>
      <c r="L46" s="10">
        <f ca="1">IF(tbl_APHA[[#This Row],[BB_Mean]]="", "", tbl_APHA[[#This Row],[BB_Mean]]-(BB_Width*tbl_APHA[[#This Row],[BB_Stdev]]))</f>
        <v>3.9510250652835186</v>
      </c>
      <c r="M46" s="46">
        <f>IF(ROW(tbl_APHA[[#This Row],[Adj Close]])=5, 0, $F46-$F45)</f>
        <v>0.22999999999999954</v>
      </c>
      <c r="N46" s="46">
        <f>MAX(tbl_APHA[[#This Row],[Move]],0)</f>
        <v>0.22999999999999954</v>
      </c>
      <c r="O46" s="46">
        <f>MAX(-tbl_APHA[[#This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8.4999999999999895E-2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5.0714285714285649E-2</v>
      </c>
      <c r="R46" s="46">
        <f ca="1">IF(tbl_APHA[[#This Row],[Avg_Upmove]]="", "", tbl_APHA[[#This Row],[Avg_Upmove]]/tbl_APHA[[#This Row],[Avg_Downmove]])</f>
        <v>1.676056338028169</v>
      </c>
      <c r="S46" s="10">
        <f ca="1">IF(ROW($N46)-4&lt;BB_Periods, "", _xlfn.STDEV.S(INDIRECT(ADDRESS(ROW($F46)-RSI_Periods +1, MATCH("Adj Close", Price_Header,0))): INDIRECT(ADDRESS(ROW($F46),MATCH("Adj Close", Price_Header,0)))))</f>
        <v>0.29305889592966883</v>
      </c>
    </row>
    <row r="47" spans="1:19" x14ac:dyDescent="0.35">
      <c r="A47" s="8">
        <v>44112</v>
      </c>
      <c r="B47" s="10">
        <v>5.24</v>
      </c>
      <c r="C47" s="10">
        <v>5.84</v>
      </c>
      <c r="D47" s="10">
        <v>5.21</v>
      </c>
      <c r="E47" s="10">
        <v>5.67</v>
      </c>
      <c r="F47" s="10">
        <v>5.67</v>
      </c>
      <c r="G47">
        <v>13988800</v>
      </c>
      <c r="H47" s="10">
        <f>IF(tbl_APHA[[#This Row],[Date]]=$A$5, $F47, EMA_Beta*$H46 + (1-EMA_Beta)*$F47)</f>
        <v>4.7208774268327183</v>
      </c>
      <c r="I47" s="46">
        <f ca="1">IF(tbl_APHA[[#This Row],[RS]]= "", "", 100-(100/(1+tbl_APHA[[#This Row],[RS]])))</f>
        <v>70.539419087136949</v>
      </c>
      <c r="J47" s="10">
        <f ca="1">IF(ROW($N47)-4&lt;BB_Periods, "", AVERAGE(INDIRECT(ADDRESS(ROW($F47)-RSI_Periods +1, MATCH("Adj Close", Price_Header,0))): INDIRECT(ADDRESS(ROW($F47),MATCH("Adj Close", Price_Header,0)))))</f>
        <v>4.6078571428571431</v>
      </c>
      <c r="K47" s="10">
        <f ca="1">IF(tbl_APHA[[#This Row],[BB_Mean]]="", "", tbl_APHA[[#This Row],[BB_Mean]]+(BB_Width*tbl_APHA[[#This Row],[BB_Stdev]]))</f>
        <v>5.4508254722714833</v>
      </c>
      <c r="L47" s="10">
        <f ca="1">IF(tbl_APHA[[#This Row],[BB_Mean]]="", "", tbl_APHA[[#This Row],[BB_Mean]]-(BB_Width*tbl_APHA[[#This Row],[BB_Stdev]]))</f>
        <v>3.7648888134428025</v>
      </c>
      <c r="M47" s="46">
        <f>IF(ROW(tbl_APHA[[#This Row],[Adj Close]])=5, 0, $F47-$F46)</f>
        <v>0.53000000000000025</v>
      </c>
      <c r="N47" s="46">
        <f>MAX(tbl_APHA[[#This Row],[Move]],0)</f>
        <v>0.53000000000000025</v>
      </c>
      <c r="O47" s="46">
        <f>MAX(-tbl_APHA[[#This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0.12142857142857137</v>
      </c>
      <c r="Q47" s="46">
        <f ca="1">IF(ROW($O47)-5&lt;RSI_Periods, "", AVERAGE(INDIRECT(ADDRESS(ROW($O47)-RSI_Periods +1, MATCH("Downmove", Price_Header,0))): INDIRECT(ADDRESS(ROW($O47),MATCH("Downmove", Price_Header,0)))))</f>
        <v>5.0714285714285649E-2</v>
      </c>
      <c r="R47" s="46">
        <f ca="1">IF(tbl_APHA[[#This Row],[Avg_Upmove]]="", "", tbl_APHA[[#This Row],[Avg_Upmove]]/tbl_APHA[[#This Row],[Avg_Downmove]])</f>
        <v>2.3943661971831007</v>
      </c>
      <c r="S47" s="10">
        <f ca="1">IF(ROW($N47)-4&lt;BB_Periods, "", _xlfn.STDEV.S(INDIRECT(ADDRESS(ROW($F47)-RSI_Periods +1, MATCH("Adj Close", Price_Header,0))): INDIRECT(ADDRESS(ROW($F47),MATCH("Adj Close", Price_Header,0)))))</f>
        <v>0.42148416470717026</v>
      </c>
    </row>
    <row r="48" spans="1:19" x14ac:dyDescent="0.35">
      <c r="A48" s="8">
        <v>44113</v>
      </c>
      <c r="B48" s="10">
        <v>5.8</v>
      </c>
      <c r="C48" s="10">
        <v>5.88</v>
      </c>
      <c r="D48" s="10">
        <v>5.44</v>
      </c>
      <c r="E48" s="10">
        <v>5.75</v>
      </c>
      <c r="F48" s="10">
        <v>5.75</v>
      </c>
      <c r="G48">
        <v>11924000</v>
      </c>
      <c r="H48" s="10">
        <f>IF(tbl_APHA[[#This Row],[Date]]=$A$5, $F48, EMA_Beta*$H47 + (1-EMA_Beta)*$F48)</f>
        <v>4.823789684149447</v>
      </c>
      <c r="I48" s="46">
        <f ca="1">IF(tbl_APHA[[#This Row],[RS]]= "", "", 100-(100/(1+tbl_APHA[[#This Row],[RS]])))</f>
        <v>79.111111111111114</v>
      </c>
      <c r="J48" s="10">
        <f ca="1">IF(ROW($N48)-4&lt;BB_Periods, "", AVERAGE(INDIRECT(ADDRESS(ROW($F48)-RSI_Periods +1, MATCH("Adj Close", Price_Header,0))): INDIRECT(ADDRESS(ROW($F48),MATCH("Adj Close", Price_Header,0)))))</f>
        <v>4.7014285714285711</v>
      </c>
      <c r="K48" s="10">
        <f ca="1">IF(tbl_APHA[[#This Row],[BB_Mean]]="", "", tbl_APHA[[#This Row],[BB_Mean]]+(BB_Width*tbl_APHA[[#This Row],[BB_Stdev]]))</f>
        <v>5.7337033453096513</v>
      </c>
      <c r="L48" s="10">
        <f ca="1">IF(tbl_APHA[[#This Row],[BB_Mean]]="", "", tbl_APHA[[#This Row],[BB_Mean]]-(BB_Width*tbl_APHA[[#This Row],[BB_Stdev]]))</f>
        <v>3.6691537975474908</v>
      </c>
      <c r="M48" s="46">
        <f>IF(ROW(tbl_APHA[[#This Row],[Adj Close]])=5, 0, $F48-$F47)</f>
        <v>8.0000000000000071E-2</v>
      </c>
      <c r="N48" s="46">
        <f>MAX(tbl_APHA[[#This Row],[Move]],0)</f>
        <v>8.0000000000000071E-2</v>
      </c>
      <c r="O48" s="46">
        <f>MAX(-tbl_APHA[[#This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0.12714285714285709</v>
      </c>
      <c r="Q48" s="46">
        <f ca="1">IF(ROW($O48)-5&lt;RSI_Periods, "", AVERAGE(INDIRECT(ADDRESS(ROW($O48)-RSI_Periods +1, MATCH("Downmove", Price_Header,0))): INDIRECT(ADDRESS(ROW($O48),MATCH("Downmove", Price_Header,0)))))</f>
        <v>3.3571428571428551E-2</v>
      </c>
      <c r="R48" s="46">
        <f ca="1">IF(tbl_APHA[[#This Row],[Avg_Upmove]]="", "", tbl_APHA[[#This Row],[Avg_Upmove]]/tbl_APHA[[#This Row],[Avg_Downmove]])</f>
        <v>3.7872340425531923</v>
      </c>
      <c r="S48" s="10">
        <f ca="1">IF(ROW($N48)-4&lt;BB_Periods, "", _xlfn.STDEV.S(INDIRECT(ADDRESS(ROW($F48)-RSI_Periods +1, MATCH("Adj Close", Price_Header,0))): INDIRECT(ADDRESS(ROW($F48),MATCH("Adj Close", Price_Header,0)))))</f>
        <v>0.51613738694054001</v>
      </c>
    </row>
    <row r="49" spans="1:19" x14ac:dyDescent="0.35">
      <c r="A49" s="8">
        <v>44116</v>
      </c>
      <c r="B49" s="10">
        <v>5.75</v>
      </c>
      <c r="C49" s="10">
        <v>6.44</v>
      </c>
      <c r="D49" s="10">
        <v>5.74</v>
      </c>
      <c r="E49" s="10">
        <v>6.37</v>
      </c>
      <c r="F49" s="10">
        <v>6.37</v>
      </c>
      <c r="G49">
        <v>16317500</v>
      </c>
      <c r="H49" s="10">
        <f>IF(tbl_APHA[[#This Row],[Date]]=$A$5, $F49, EMA_Beta*$H48 + (1-EMA_Beta)*$F49)</f>
        <v>4.9784107157345021</v>
      </c>
      <c r="I49" s="46">
        <f ca="1">IF(tbl_APHA[[#This Row],[RS]]= "", "", 100-(100/(1+tbl_APHA[[#This Row],[RS]])))</f>
        <v>83.032490974729257</v>
      </c>
      <c r="J49" s="10">
        <f ca="1">IF(ROW($N49)-4&lt;BB_Periods, "", AVERAGE(INDIRECT(ADDRESS(ROW($F49)-RSI_Periods +1, MATCH("Adj Close", Price_Header,0))): INDIRECT(ADDRESS(ROW($F49),MATCH("Adj Close", Price_Header,0)))))</f>
        <v>4.8321428571428573</v>
      </c>
      <c r="K49" s="10">
        <f ca="1">IF(tbl_APHA[[#This Row],[BB_Mean]]="", "", tbl_APHA[[#This Row],[BB_Mean]]+(BB_Width*tbl_APHA[[#This Row],[BB_Stdev]]))</f>
        <v>6.1888397185037025</v>
      </c>
      <c r="L49" s="10">
        <f ca="1">IF(tbl_APHA[[#This Row],[BB_Mean]]="", "", tbl_APHA[[#This Row],[BB_Mean]]-(BB_Width*tbl_APHA[[#This Row],[BB_Stdev]]))</f>
        <v>3.4754459957820116</v>
      </c>
      <c r="M49" s="46">
        <f>IF(ROW(tbl_APHA[[#This Row],[Adj Close]])=5, 0, $F49-$F48)</f>
        <v>0.62000000000000011</v>
      </c>
      <c r="N49" s="46">
        <f>MAX(tbl_APHA[[#This Row],[Move]],0)</f>
        <v>0.62000000000000011</v>
      </c>
      <c r="O49" s="46">
        <f>MAX(-tbl_APHA[[#This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0.16428571428571428</v>
      </c>
      <c r="Q49" s="46">
        <f ca="1">IF(ROW($O49)-5&lt;RSI_Periods, "", AVERAGE(INDIRECT(ADDRESS(ROW($O49)-RSI_Periods +1, MATCH("Downmove", Price_Header,0))): INDIRECT(ADDRESS(ROW($O49),MATCH("Downmove", Price_Header,0)))))</f>
        <v>3.3571428571428551E-2</v>
      </c>
      <c r="R49" s="46">
        <f ca="1">IF(tbl_APHA[[#This Row],[Avg_Upmove]]="", "", tbl_APHA[[#This Row],[Avg_Upmove]]/tbl_APHA[[#This Row],[Avg_Downmove]])</f>
        <v>4.893617021276599</v>
      </c>
      <c r="S49" s="10">
        <f ca="1">IF(ROW($N49)-4&lt;BB_Periods, "", _xlfn.STDEV.S(INDIRECT(ADDRESS(ROW($F49)-RSI_Periods +1, MATCH("Adj Close", Price_Header,0))): INDIRECT(ADDRESS(ROW($F49),MATCH("Adj Close", Price_Header,0)))))</f>
        <v>0.67834843068042283</v>
      </c>
    </row>
    <row r="50" spans="1:19" x14ac:dyDescent="0.35">
      <c r="A50" s="8">
        <v>44117</v>
      </c>
      <c r="B50" s="10">
        <v>6.06</v>
      </c>
      <c r="C50" s="10">
        <v>6.32</v>
      </c>
      <c r="D50" s="10">
        <v>5.91</v>
      </c>
      <c r="E50" s="10">
        <v>6.1</v>
      </c>
      <c r="F50" s="10">
        <v>6.1</v>
      </c>
      <c r="G50">
        <v>11556500</v>
      </c>
      <c r="H50" s="10">
        <f>IF(tbl_APHA[[#This Row],[Date]]=$A$5, $F50, EMA_Beta*$H49 + (1-EMA_Beta)*$F50)</f>
        <v>5.090569644161052</v>
      </c>
      <c r="I50" s="46">
        <f ca="1">IF(tbl_APHA[[#This Row],[RS]]= "", "", 100-(100/(1+tbl_APHA[[#This Row],[RS]])))</f>
        <v>78.231292517006779</v>
      </c>
      <c r="J50" s="10">
        <f ca="1">IF(ROW($N50)-4&lt;BB_Periods, "", AVERAGE(INDIRECT(ADDRESS(ROW($F50)-RSI_Periods +1, MATCH("Adj Close", Price_Header,0))): INDIRECT(ADDRESS(ROW($F50),MATCH("Adj Close", Price_Header,0)))))</f>
        <v>4.9507142857142856</v>
      </c>
      <c r="K50" s="10">
        <f ca="1">IF(tbl_APHA[[#This Row],[BB_Mean]]="", "", tbl_APHA[[#This Row],[BB_Mean]]+(BB_Width*tbl_APHA[[#This Row],[BB_Stdev]]))</f>
        <v>6.4431457408745025</v>
      </c>
      <c r="L50" s="10">
        <f ca="1">IF(tbl_APHA[[#This Row],[BB_Mean]]="", "", tbl_APHA[[#This Row],[BB_Mean]]-(BB_Width*tbl_APHA[[#This Row],[BB_Stdev]]))</f>
        <v>3.4582828305540683</v>
      </c>
      <c r="M50" s="46">
        <f>IF(ROW(tbl_APHA[[#This Row],[Adj Close]])=5, 0, $F50-$F49)</f>
        <v>-0.27000000000000046</v>
      </c>
      <c r="N50" s="46">
        <f>MAX(tbl_APHA[[#This Row],[Move]],0)</f>
        <v>0</v>
      </c>
      <c r="O50" s="46">
        <f>MAX(-tbl_APHA[[#This Row],[Move]],0)</f>
        <v>0.27000000000000046</v>
      </c>
      <c r="P50" s="46">
        <f ca="1">IF(ROW($N50)-5&lt;RSI_Periods, "", AVERAGE(INDIRECT(ADDRESS(ROW($N50)-RSI_Periods +1, MATCH("Upmove", Price_Header,0))): INDIRECT(ADDRESS(ROW($N50),MATCH("Upmove", Price_Header,0)))))</f>
        <v>0.16428571428571428</v>
      </c>
      <c r="Q50" s="46">
        <f ca="1">IF(ROW($O50)-5&lt;RSI_Periods, "", AVERAGE(INDIRECT(ADDRESS(ROW($O50)-RSI_Periods +1, MATCH("Downmove", Price_Header,0))): INDIRECT(ADDRESS(ROW($O50),MATCH("Downmove", Price_Header,0)))))</f>
        <v>4.5714285714285756E-2</v>
      </c>
      <c r="R50" s="46">
        <f ca="1">IF(tbl_APHA[[#This Row],[Avg_Upmove]]="", "", tbl_APHA[[#This Row],[Avg_Upmove]]/tbl_APHA[[#This Row],[Avg_Downmove]])</f>
        <v>3.5937499999999969</v>
      </c>
      <c r="S50" s="10">
        <f ca="1">IF(ROW($N50)-4&lt;BB_Periods, "", _xlfn.STDEV.S(INDIRECT(ADDRESS(ROW($F50)-RSI_Periods +1, MATCH("Adj Close", Price_Header,0))): INDIRECT(ADDRESS(ROW($F50),MATCH("Adj Close", Price_Header,0)))))</f>
        <v>0.74621572758010868</v>
      </c>
    </row>
    <row r="51" spans="1:19" x14ac:dyDescent="0.35">
      <c r="A51" s="8">
        <v>44118</v>
      </c>
      <c r="B51" s="10">
        <v>6.11</v>
      </c>
      <c r="C51" s="10">
        <v>6.22</v>
      </c>
      <c r="D51" s="10">
        <v>5.8</v>
      </c>
      <c r="E51" s="10">
        <v>5.88</v>
      </c>
      <c r="F51" s="10">
        <v>5.88</v>
      </c>
      <c r="G51">
        <v>11426800</v>
      </c>
      <c r="H51" s="10">
        <f>IF(tbl_APHA[[#This Row],[Date]]=$A$5, $F51, EMA_Beta*$H50 + (1-EMA_Beta)*$F51)</f>
        <v>5.1695126797449467</v>
      </c>
      <c r="I51" s="46">
        <f ca="1">IF(tbl_APHA[[#This Row],[RS]]= "", "", 100-(100/(1+tbl_APHA[[#This Row],[RS]])))</f>
        <v>78.231292517006807</v>
      </c>
      <c r="J51" s="10">
        <f ca="1">IF(ROW($N51)-4&lt;BB_Periods, "", AVERAGE(INDIRECT(ADDRESS(ROW($F51)-RSI_Periods +1, MATCH("Adj Close", Price_Header,0))): INDIRECT(ADDRESS(ROW($F51),MATCH("Adj Close", Price_Header,0)))))</f>
        <v>5.069285714285714</v>
      </c>
      <c r="K51" s="10">
        <f ca="1">IF(tbl_APHA[[#This Row],[BB_Mean]]="", "", tbl_APHA[[#This Row],[BB_Mean]]+(BB_Width*tbl_APHA[[#This Row],[BB_Stdev]]))</f>
        <v>6.5753445401000343</v>
      </c>
      <c r="L51" s="10">
        <f ca="1">IF(tbl_APHA[[#This Row],[BB_Mean]]="", "", tbl_APHA[[#This Row],[BB_Mean]]-(BB_Width*tbl_APHA[[#This Row],[BB_Stdev]]))</f>
        <v>3.5632268884713936</v>
      </c>
      <c r="M51" s="46">
        <f>IF(ROW(tbl_APHA[[#This Row],[Adj Close]])=5, 0, $F51-$F50)</f>
        <v>-0.21999999999999975</v>
      </c>
      <c r="N51" s="46">
        <f>MAX(tbl_APHA[[#This Row],[Move]],0)</f>
        <v>0</v>
      </c>
      <c r="O51" s="46">
        <f>MAX(-tbl_APHA[[#This Row],[Move]],0)</f>
        <v>0.21999999999999975</v>
      </c>
      <c r="P51" s="46">
        <f ca="1">IF(ROW($N51)-5&lt;RSI_Periods, "", AVERAGE(INDIRECT(ADDRESS(ROW($N51)-RSI_Periods +1, MATCH("Upmove", Price_Header,0))): INDIRECT(ADDRESS(ROW($N51),MATCH("Upmove", Price_Header,0)))))</f>
        <v>0.16428571428571428</v>
      </c>
      <c r="Q51" s="46">
        <f ca="1">IF(ROW($O51)-5&lt;RSI_Periods, "", AVERAGE(INDIRECT(ADDRESS(ROW($O51)-RSI_Periods +1, MATCH("Downmove", Price_Header,0))): INDIRECT(ADDRESS(ROW($O51),MATCH("Downmove", Price_Header,0)))))</f>
        <v>4.5714285714285693E-2</v>
      </c>
      <c r="R51" s="46">
        <f ca="1">IF(tbl_APHA[[#This Row],[Avg_Upmove]]="", "", tbl_APHA[[#This Row],[Avg_Upmove]]/tbl_APHA[[#This Row],[Avg_Downmove]])</f>
        <v>3.5937500000000018</v>
      </c>
      <c r="S51" s="10">
        <f ca="1">IF(ROW($N51)-4&lt;BB_Periods, "", _xlfn.STDEV.S(INDIRECT(ADDRESS(ROW($F51)-RSI_Periods +1, MATCH("Adj Close", Price_Header,0))): INDIRECT(ADDRESS(ROW($F51),MATCH("Adj Close", Price_Header,0)))))</f>
        <v>0.7530294129071603</v>
      </c>
    </row>
    <row r="52" spans="1:19" x14ac:dyDescent="0.35">
      <c r="A52" s="8">
        <v>44119</v>
      </c>
      <c r="B52" s="10">
        <v>5.34</v>
      </c>
      <c r="C52" s="10">
        <v>5.38</v>
      </c>
      <c r="D52" s="10">
        <v>4.71</v>
      </c>
      <c r="E52" s="10">
        <v>4.8</v>
      </c>
      <c r="F52" s="10">
        <v>4.8</v>
      </c>
      <c r="G52">
        <v>26130400</v>
      </c>
      <c r="H52" s="10">
        <f>IF(tbl_APHA[[#This Row],[Date]]=$A$5, $F52, EMA_Beta*$H51 + (1-EMA_Beta)*$F52)</f>
        <v>5.1325614117704514</v>
      </c>
      <c r="I52" s="46">
        <f ca="1">IF(tbl_APHA[[#This Row],[RS]]= "", "", 100-(100/(1+tbl_APHA[[#This Row],[RS]])))</f>
        <v>57.107231920199496</v>
      </c>
      <c r="J52" s="10">
        <f ca="1">IF(ROW($N52)-4&lt;BB_Periods, "", AVERAGE(INDIRECT(ADDRESS(ROW($F52)-RSI_Periods +1, MATCH("Adj Close", Price_Header,0))): INDIRECT(ADDRESS(ROW($F52),MATCH("Adj Close", Price_Header,0)))))</f>
        <v>5.1099999999999994</v>
      </c>
      <c r="K52" s="10">
        <f ca="1">IF(tbl_APHA[[#This Row],[BB_Mean]]="", "", tbl_APHA[[#This Row],[BB_Mean]]+(BB_Width*tbl_APHA[[#This Row],[BB_Stdev]]))</f>
        <v>6.5475834423942763</v>
      </c>
      <c r="L52" s="10">
        <f ca="1">IF(tbl_APHA[[#This Row],[BB_Mean]]="", "", tbl_APHA[[#This Row],[BB_Mean]]-(BB_Width*tbl_APHA[[#This Row],[BB_Stdev]]))</f>
        <v>3.6724165576057226</v>
      </c>
      <c r="M52" s="46">
        <f>IF(ROW(tbl_APHA[[#This Row],[Adj Close]])=5, 0, $F52-$F51)</f>
        <v>-1.08</v>
      </c>
      <c r="N52" s="46">
        <f>MAX(tbl_APHA[[#This Row],[Move]],0)</f>
        <v>0</v>
      </c>
      <c r="O52" s="46">
        <f>MAX(-tbl_APHA[[#This Row],[Move]],0)</f>
        <v>1.08</v>
      </c>
      <c r="P52" s="46">
        <f ca="1">IF(ROW($N52)-5&lt;RSI_Periods, "", AVERAGE(INDIRECT(ADDRESS(ROW($N52)-RSI_Periods +1, MATCH("Upmove", Price_Header,0))): INDIRECT(ADDRESS(ROW($N52),MATCH("Upmove", Price_Header,0)))))</f>
        <v>0.16357142857142851</v>
      </c>
      <c r="Q52" s="46">
        <f ca="1">IF(ROW($O52)-5&lt;RSI_Periods, "", AVERAGE(INDIRECT(ADDRESS(ROW($O52)-RSI_Periods +1, MATCH("Downmove", Price_Header,0))): INDIRECT(ADDRESS(ROW($O52),MATCH("Downmove", Price_Header,0)))))</f>
        <v>0.12285714285714285</v>
      </c>
      <c r="R52" s="46">
        <f ca="1">IF(tbl_APHA[[#This Row],[Avg_Upmove]]="", "", tbl_APHA[[#This Row],[Avg_Upmove]]/tbl_APHA[[#This Row],[Avg_Downmove]])</f>
        <v>1.331395348837209</v>
      </c>
      <c r="S52" s="10">
        <f ca="1">IF(ROW($N52)-4&lt;BB_Periods, "", _xlfn.STDEV.S(INDIRECT(ADDRESS(ROW($F52)-RSI_Periods +1, MATCH("Adj Close", Price_Header,0))): INDIRECT(ADDRESS(ROW($F52),MATCH("Adj Close", Price_Header,0)))))</f>
        <v>0.71879172119713852</v>
      </c>
    </row>
    <row r="53" spans="1:19" x14ac:dyDescent="0.35">
      <c r="A53" s="8">
        <v>44120</v>
      </c>
      <c r="B53" s="10">
        <v>4.88</v>
      </c>
      <c r="C53" s="10">
        <v>4.91</v>
      </c>
      <c r="D53" s="10">
        <v>4.6399999999999997</v>
      </c>
      <c r="E53" s="10">
        <v>4.6500000000000004</v>
      </c>
      <c r="F53" s="10">
        <v>4.6500000000000004</v>
      </c>
      <c r="G53">
        <v>7710300</v>
      </c>
      <c r="H53" s="10">
        <f>IF(tbl_APHA[[#This Row],[Date]]=$A$5, $F53, EMA_Beta*$H52 + (1-EMA_Beta)*$F53)</f>
        <v>5.084305270593406</v>
      </c>
      <c r="I53" s="46">
        <f ca="1">IF(tbl_APHA[[#This Row],[RS]]= "", "", 100-(100/(1+tbl_APHA[[#This Row],[RS]])))</f>
        <v>54.166666666666679</v>
      </c>
      <c r="J53" s="10">
        <f ca="1">IF(ROW($N53)-4&lt;BB_Periods, "", AVERAGE(INDIRECT(ADDRESS(ROW($F53)-RSI_Periods +1, MATCH("Adj Close", Price_Header,0))): INDIRECT(ADDRESS(ROW($F53),MATCH("Adj Close", Price_Header,0)))))</f>
        <v>5.1342857142857152</v>
      </c>
      <c r="K53" s="10">
        <f ca="1">IF(tbl_APHA[[#This Row],[BB_Mean]]="", "", tbl_APHA[[#This Row],[BB_Mean]]+(BB_Width*tbl_APHA[[#This Row],[BB_Stdev]]))</f>
        <v>6.5243540974561558</v>
      </c>
      <c r="L53" s="10">
        <f ca="1">IF(tbl_APHA[[#This Row],[BB_Mean]]="", "", tbl_APHA[[#This Row],[BB_Mean]]-(BB_Width*tbl_APHA[[#This Row],[BB_Stdev]]))</f>
        <v>3.7442173311152747</v>
      </c>
      <c r="M53" s="46">
        <f>IF(ROW(tbl_APHA[[#This Row],[Adj Close]])=5, 0, $F53-$F52)</f>
        <v>-0.14999999999999947</v>
      </c>
      <c r="N53" s="46">
        <f>MAX(tbl_APHA[[#This Row],[Move]],0)</f>
        <v>0</v>
      </c>
      <c r="O53" s="46">
        <f>MAX(-tbl_APHA[[#This Row],[Move]],0)</f>
        <v>0.14999999999999947</v>
      </c>
      <c r="P53" s="46">
        <f ca="1">IF(ROW($N53)-5&lt;RSI_Periods, "", AVERAGE(INDIRECT(ADDRESS(ROW($N53)-RSI_Periods +1, MATCH("Upmove", Price_Header,0))): INDIRECT(ADDRESS(ROW($N53),MATCH("Upmove", Price_Header,0)))))</f>
        <v>0.15785714285714286</v>
      </c>
      <c r="Q53" s="46">
        <f ca="1">IF(ROW($O53)-5&lt;RSI_Periods, "", AVERAGE(INDIRECT(ADDRESS(ROW($O53)-RSI_Periods +1, MATCH("Downmove", Price_Header,0))): INDIRECT(ADDRESS(ROW($O53),MATCH("Downmove", Price_Header,0)))))</f>
        <v>0.13357142857142851</v>
      </c>
      <c r="R53" s="46">
        <f ca="1">IF(tbl_APHA[[#This Row],[Avg_Upmove]]="", "", tbl_APHA[[#This Row],[Avg_Upmove]]/tbl_APHA[[#This Row],[Avg_Downmove]])</f>
        <v>1.1818181818181823</v>
      </c>
      <c r="S53" s="10">
        <f ca="1">IF(ROW($N53)-4&lt;BB_Periods, "", _xlfn.STDEV.S(INDIRECT(ADDRESS(ROW($F53)-RSI_Periods +1, MATCH("Adj Close", Price_Header,0))): INDIRECT(ADDRESS(ROW($F53),MATCH("Adj Close", Price_Header,0)))))</f>
        <v>0.6950341915852204</v>
      </c>
    </row>
    <row r="54" spans="1:19" x14ac:dyDescent="0.35">
      <c r="A54" s="8">
        <v>44123</v>
      </c>
      <c r="B54" s="10">
        <v>4.6399999999999997</v>
      </c>
      <c r="C54" s="10">
        <v>4.8600000000000003</v>
      </c>
      <c r="D54" s="10">
        <v>4.54</v>
      </c>
      <c r="E54" s="10">
        <v>4.68</v>
      </c>
      <c r="F54" s="10">
        <v>4.68</v>
      </c>
      <c r="G54">
        <v>10372600</v>
      </c>
      <c r="H54" s="10">
        <f>IF(tbl_APHA[[#This Row],[Date]]=$A$5, $F54, EMA_Beta*$H53 + (1-EMA_Beta)*$F54)</f>
        <v>5.0438747435340652</v>
      </c>
      <c r="I54" s="46">
        <f ca="1">IF(tbl_APHA[[#This Row],[RS]]= "", "", 100-(100/(1+tbl_APHA[[#This Row],[RS]])))</f>
        <v>54.166666666666664</v>
      </c>
      <c r="J54" s="10">
        <f ca="1">IF(ROW($N54)-4&lt;BB_Periods, "", AVERAGE(INDIRECT(ADDRESS(ROW($F54)-RSI_Periods +1, MATCH("Adj Close", Price_Header,0))): INDIRECT(ADDRESS(ROW($F54),MATCH("Adj Close", Price_Header,0)))))</f>
        <v>5.1585714285714284</v>
      </c>
      <c r="K54" s="10">
        <f ca="1">IF(tbl_APHA[[#This Row],[BB_Mean]]="", "", tbl_APHA[[#This Row],[BB_Mean]]+(BB_Width*tbl_APHA[[#This Row],[BB_Stdev]]))</f>
        <v>6.4998878231367323</v>
      </c>
      <c r="L54" s="10">
        <f ca="1">IF(tbl_APHA[[#This Row],[BB_Mean]]="", "", tbl_APHA[[#This Row],[BB_Mean]]-(BB_Width*tbl_APHA[[#This Row],[BB_Stdev]]))</f>
        <v>3.8172550340061244</v>
      </c>
      <c r="M54" s="46">
        <f>IF(ROW(tbl_APHA[[#This Row],[Adj Close]])=5, 0, $F54-$F53)</f>
        <v>2.9999999999999361E-2</v>
      </c>
      <c r="N54" s="46">
        <f>MAX(tbl_APHA[[#This Row],[Move]],0)</f>
        <v>2.9999999999999361E-2</v>
      </c>
      <c r="O54" s="46">
        <f>MAX(-tbl_APHA[[#This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0.15785714285714278</v>
      </c>
      <c r="Q54" s="46">
        <f ca="1">IF(ROW($O54)-5&lt;RSI_Periods, "", AVERAGE(INDIRECT(ADDRESS(ROW($O54)-RSI_Periods +1, MATCH("Downmove", Price_Header,0))): INDIRECT(ADDRESS(ROW($O54),MATCH("Downmove", Price_Header,0)))))</f>
        <v>0.13357142857142851</v>
      </c>
      <c r="R54" s="46">
        <f ca="1">IF(tbl_APHA[[#This Row],[Avg_Upmove]]="", "", tbl_APHA[[#This Row],[Avg_Upmove]]/tbl_APHA[[#This Row],[Avg_Downmove]])</f>
        <v>1.1818181818181819</v>
      </c>
      <c r="S54" s="10">
        <f ca="1">IF(ROW($N54)-4&lt;BB_Periods, "", _xlfn.STDEV.S(INDIRECT(ADDRESS(ROW($F54)-RSI_Periods +1, MATCH("Adj Close", Price_Header,0))): INDIRECT(ADDRESS(ROW($F54),MATCH("Adj Close", Price_Header,0)))))</f>
        <v>0.67065819728265197</v>
      </c>
    </row>
    <row r="55" spans="1:19" x14ac:dyDescent="0.35">
      <c r="A55" s="8">
        <v>44124</v>
      </c>
      <c r="B55" s="10">
        <v>4.71</v>
      </c>
      <c r="C55" s="10">
        <v>4.72</v>
      </c>
      <c r="D55" s="10">
        <v>4.42</v>
      </c>
      <c r="E55" s="10">
        <v>4.6500000000000004</v>
      </c>
      <c r="F55" s="10">
        <v>4.6500000000000004</v>
      </c>
      <c r="G55">
        <v>8385300</v>
      </c>
      <c r="H55" s="10">
        <f>IF(tbl_APHA[[#This Row],[Date]]=$A$5, $F55, EMA_Beta*$H54 + (1-EMA_Beta)*$F55)</f>
        <v>5.0044872691806583</v>
      </c>
      <c r="I55" s="46">
        <f ca="1">IF(tbl_APHA[[#This Row],[RS]]= "", "", 100-(100/(1+tbl_APHA[[#This Row],[RS]])))</f>
        <v>52.736318407960205</v>
      </c>
      <c r="J55" s="10">
        <f ca="1">IF(ROW($N55)-4&lt;BB_Periods, "", AVERAGE(INDIRECT(ADDRESS(ROW($F55)-RSI_Periods +1, MATCH("Adj Close", Price_Header,0))): INDIRECT(ADDRESS(ROW($F55),MATCH("Adj Close", Price_Header,0)))))</f>
        <v>5.1742857142857144</v>
      </c>
      <c r="K55" s="10">
        <f ca="1">IF(tbl_APHA[[#This Row],[BB_Mean]]="", "", tbl_APHA[[#This Row],[BB_Mean]]+(BB_Width*tbl_APHA[[#This Row],[BB_Stdev]]))</f>
        <v>6.4836064844260548</v>
      </c>
      <c r="L55" s="10">
        <f ca="1">IF(tbl_APHA[[#This Row],[BB_Mean]]="", "", tbl_APHA[[#This Row],[BB_Mean]]-(BB_Width*tbl_APHA[[#This Row],[BB_Stdev]]))</f>
        <v>3.8649649441453744</v>
      </c>
      <c r="M55" s="46">
        <f>IF(ROW(tbl_APHA[[#This Row],[Adj Close]])=5, 0, $F55-$F54)</f>
        <v>-2.9999999999999361E-2</v>
      </c>
      <c r="N55" s="46">
        <f>MAX(tbl_APHA[[#This Row],[Move]],0)</f>
        <v>0</v>
      </c>
      <c r="O55" s="46">
        <f>MAX(-tbl_APHA[[#This Row],[Move]],0)</f>
        <v>2.9999999999999361E-2</v>
      </c>
      <c r="P55" s="46">
        <f ca="1">IF(ROW($N55)-5&lt;RSI_Periods, "", AVERAGE(INDIRECT(ADDRESS(ROW($N55)-RSI_Periods +1, MATCH("Upmove", Price_Header,0))): INDIRECT(ADDRESS(ROW($N55),MATCH("Upmove", Price_Header,0)))))</f>
        <v>0.15142857142857138</v>
      </c>
      <c r="Q55" s="46">
        <f ca="1">IF(ROW($O55)-5&lt;RSI_Periods, "", AVERAGE(INDIRECT(ADDRESS(ROW($O55)-RSI_Periods +1, MATCH("Downmove", Price_Header,0))): INDIRECT(ADDRESS(ROW($O55),MATCH("Downmove", Price_Header,0)))))</f>
        <v>0.13571428571428562</v>
      </c>
      <c r="R55" s="46">
        <f ca="1">IF(tbl_APHA[[#This Row],[Avg_Upmove]]="", "", tbl_APHA[[#This Row],[Avg_Upmove]]/tbl_APHA[[#This Row],[Avg_Downmove]])</f>
        <v>1.1157894736842109</v>
      </c>
      <c r="S55" s="10">
        <f ca="1">IF(ROW($N55)-4&lt;BB_Periods, "", _xlfn.STDEV.S(INDIRECT(ADDRESS(ROW($F55)-RSI_Periods +1, MATCH("Adj Close", Price_Header,0))): INDIRECT(ADDRESS(ROW($F55),MATCH("Adj Close", Price_Header,0)))))</f>
        <v>0.65466038507016999</v>
      </c>
    </row>
    <row r="56" spans="1:19" x14ac:dyDescent="0.35">
      <c r="A56" s="8">
        <v>44125</v>
      </c>
      <c r="B56" s="10">
        <v>4.68</v>
      </c>
      <c r="C56" s="10">
        <v>4.8</v>
      </c>
      <c r="D56" s="10">
        <v>4.5999999999999996</v>
      </c>
      <c r="E56" s="10">
        <v>4.68</v>
      </c>
      <c r="F56" s="10">
        <v>4.68</v>
      </c>
      <c r="G56">
        <v>7999500</v>
      </c>
      <c r="H56" s="10">
        <f>IF(tbl_APHA[[#This Row],[Date]]=$A$5, $F56, EMA_Beta*$H55 + (1-EMA_Beta)*$F56)</f>
        <v>4.9720385422625926</v>
      </c>
      <c r="I56" s="46">
        <f ca="1">IF(tbl_APHA[[#This Row],[RS]]= "", "", 100-(100/(1+tbl_APHA[[#This Row],[RS]])))</f>
        <v>53.482587064676608</v>
      </c>
      <c r="J56" s="10">
        <f ca="1">IF(ROW($N56)-4&lt;BB_Periods, "", AVERAGE(INDIRECT(ADDRESS(ROW($F56)-RSI_Periods +1, MATCH("Adj Close", Price_Header,0))): INDIRECT(ADDRESS(ROW($F56),MATCH("Adj Close", Price_Header,0)))))</f>
        <v>5.194285714285714</v>
      </c>
      <c r="K56" s="10">
        <f ca="1">IF(tbl_APHA[[#This Row],[BB_Mean]]="", "", tbl_APHA[[#This Row],[BB_Mean]]+(BB_Width*tbl_APHA[[#This Row],[BB_Stdev]]))</f>
        <v>6.4605027156348029</v>
      </c>
      <c r="L56" s="10">
        <f ca="1">IF(tbl_APHA[[#This Row],[BB_Mean]]="", "", tbl_APHA[[#This Row],[BB_Mean]]-(BB_Width*tbl_APHA[[#This Row],[BB_Stdev]]))</f>
        <v>3.928068712936625</v>
      </c>
      <c r="M56" s="46">
        <f>IF(ROW(tbl_APHA[[#This Row],[Adj Close]])=5, 0, $F56-$F55)</f>
        <v>2.9999999999999361E-2</v>
      </c>
      <c r="N56" s="46">
        <f>MAX(tbl_APHA[[#This Row],[Move]],0)</f>
        <v>2.9999999999999361E-2</v>
      </c>
      <c r="O56" s="46">
        <f>MAX(-tbl_APHA[[#This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0.15357142857142847</v>
      </c>
      <c r="Q56" s="46">
        <f ca="1">IF(ROW($O56)-5&lt;RSI_Periods, "", AVERAGE(INDIRECT(ADDRESS(ROW($O56)-RSI_Periods +1, MATCH("Downmove", Price_Header,0))): INDIRECT(ADDRESS(ROW($O56),MATCH("Downmove", Price_Header,0)))))</f>
        <v>0.13357142857142851</v>
      </c>
      <c r="R56" s="46">
        <f ca="1">IF(tbl_APHA[[#This Row],[Avg_Upmove]]="", "", tbl_APHA[[#This Row],[Avg_Upmove]]/tbl_APHA[[#This Row],[Avg_Downmove]])</f>
        <v>1.1497326203208553</v>
      </c>
      <c r="S56" s="10">
        <f ca="1">IF(ROW($N56)-4&lt;BB_Periods, "", _xlfn.STDEV.S(INDIRECT(ADDRESS(ROW($F56)-RSI_Periods +1, MATCH("Adj Close", Price_Header,0))): INDIRECT(ADDRESS(ROW($F56),MATCH("Adj Close", Price_Header,0)))))</f>
        <v>0.63310850067454438</v>
      </c>
    </row>
    <row r="57" spans="1:19" x14ac:dyDescent="0.35">
      <c r="A57" s="8">
        <v>44126</v>
      </c>
      <c r="B57" s="10">
        <v>4.67</v>
      </c>
      <c r="C57" s="10">
        <v>4.75</v>
      </c>
      <c r="D57" s="10">
        <v>4.59</v>
      </c>
      <c r="E57" s="10">
        <v>4.68</v>
      </c>
      <c r="F57" s="10">
        <v>4.68</v>
      </c>
      <c r="G57">
        <v>4412800</v>
      </c>
      <c r="H57" s="10">
        <f>IF(tbl_APHA[[#This Row],[Date]]=$A$5, $F57, EMA_Beta*$H56 + (1-EMA_Beta)*$F57)</f>
        <v>4.9428346880363332</v>
      </c>
      <c r="I57" s="46">
        <f ca="1">IF(tbl_APHA[[#This Row],[RS]]= "", "", 100-(100/(1+tbl_APHA[[#This Row],[RS]])))</f>
        <v>53.366583541147136</v>
      </c>
      <c r="J57" s="10">
        <f ca="1">IF(ROW($N57)-4&lt;BB_Periods, "", AVERAGE(INDIRECT(ADDRESS(ROW($F57)-RSI_Periods +1, MATCH("Adj Close", Price_Header,0))): INDIRECT(ADDRESS(ROW($F57),MATCH("Adj Close", Price_Header,0)))))</f>
        <v>5.213571428571429</v>
      </c>
      <c r="K57" s="10">
        <f ca="1">IF(tbl_APHA[[#This Row],[BB_Mean]]="", "", tbl_APHA[[#This Row],[BB_Mean]]+(BB_Width*tbl_APHA[[#This Row],[BB_Stdev]]))</f>
        <v>6.4357915306896745</v>
      </c>
      <c r="L57" s="10">
        <f ca="1">IF(tbl_APHA[[#This Row],[BB_Mean]]="", "", tbl_APHA[[#This Row],[BB_Mean]]-(BB_Width*tbl_APHA[[#This Row],[BB_Stdev]]))</f>
        <v>3.9913513264531835</v>
      </c>
      <c r="M57" s="46">
        <f>IF(ROW(tbl_APHA[[#This Row],[Adj Close]])=5, 0, $F57-$F56)</f>
        <v>0</v>
      </c>
      <c r="N57" s="46">
        <f>MAX(tbl_APHA[[#This Row],[Move]],0)</f>
        <v>0</v>
      </c>
      <c r="O57" s="46">
        <f>MAX(-tbl_APHA[[#This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0.15285714285714277</v>
      </c>
      <c r="Q57" s="46">
        <f ca="1">IF(ROW($O57)-5&lt;RSI_Periods, "", AVERAGE(INDIRECT(ADDRESS(ROW($O57)-RSI_Periods +1, MATCH("Downmove", Price_Header,0))): INDIRECT(ADDRESS(ROW($O57),MATCH("Downmove", Price_Header,0)))))</f>
        <v>0.13357142857142851</v>
      </c>
      <c r="R57" s="46">
        <f ca="1">IF(tbl_APHA[[#This Row],[Avg_Upmove]]="", "", tbl_APHA[[#This Row],[Avg_Upmove]]/tbl_APHA[[#This Row],[Avg_Downmove]])</f>
        <v>1.1443850267379678</v>
      </c>
      <c r="S57" s="10">
        <f ca="1">IF(ROW($N57)-4&lt;BB_Periods, "", _xlfn.STDEV.S(INDIRECT(ADDRESS(ROW($F57)-RSI_Periods +1, MATCH("Adj Close", Price_Header,0))): INDIRECT(ADDRESS(ROW($F57),MATCH("Adj Close", Price_Header,0)))))</f>
        <v>0.61111005105912275</v>
      </c>
    </row>
    <row r="58" spans="1:19" x14ac:dyDescent="0.35">
      <c r="A58" s="8">
        <v>44127</v>
      </c>
      <c r="B58" s="10">
        <v>4.7</v>
      </c>
      <c r="C58" s="10">
        <v>4.71</v>
      </c>
      <c r="D58" s="10">
        <v>4.54</v>
      </c>
      <c r="E58" s="10">
        <v>4.55</v>
      </c>
      <c r="F58" s="10">
        <v>4.55</v>
      </c>
      <c r="G58">
        <v>3989100</v>
      </c>
      <c r="H58" s="10">
        <f>IF(tbl_APHA[[#This Row],[Date]]=$A$5, $F58, EMA_Beta*$H57 + (1-EMA_Beta)*$F58)</f>
        <v>4.9035512192326998</v>
      </c>
      <c r="I58" s="46">
        <f ca="1">IF(tbl_APHA[[#This Row],[RS]]= "", "", 100-(100/(1+tbl_APHA[[#This Row],[RS]])))</f>
        <v>43.181818181818173</v>
      </c>
      <c r="J58" s="10">
        <f ca="1">IF(ROW($N58)-4&lt;BB_Periods, "", AVERAGE(INDIRECT(ADDRESS(ROW($F58)-RSI_Periods +1, MATCH("Adj Close", Price_Header,0))): INDIRECT(ADDRESS(ROW($F58),MATCH("Adj Close", Price_Header,0)))))</f>
        <v>5.1792857142857134</v>
      </c>
      <c r="K58" s="10">
        <f ca="1">IF(tbl_APHA[[#This Row],[BB_Mean]]="", "", tbl_APHA[[#This Row],[BB_Mean]]+(BB_Width*tbl_APHA[[#This Row],[BB_Stdev]]))</f>
        <v>6.4496694064333848</v>
      </c>
      <c r="L58" s="10">
        <f ca="1">IF(tbl_APHA[[#This Row],[BB_Mean]]="", "", tbl_APHA[[#This Row],[BB_Mean]]-(BB_Width*tbl_APHA[[#This Row],[BB_Stdev]]))</f>
        <v>3.9089020221380419</v>
      </c>
      <c r="M58" s="46">
        <f>IF(ROW(tbl_APHA[[#This Row],[Adj Close]])=5, 0, $F58-$F57)</f>
        <v>-0.12999999999999989</v>
      </c>
      <c r="N58" s="46">
        <f>MAX(tbl_APHA[[#This Row],[Move]],0)</f>
        <v>0</v>
      </c>
      <c r="O58" s="46">
        <f>MAX(-tbl_APHA[[#This Row],[Move]],0)</f>
        <v>0.12999999999999989</v>
      </c>
      <c r="P58" s="46">
        <f ca="1">IF(ROW($N58)-5&lt;RSI_Periods, "", AVERAGE(INDIRECT(ADDRESS(ROW($N58)-RSI_Periods +1, MATCH("Upmove", Price_Header,0))): INDIRECT(ADDRESS(ROW($N58),MATCH("Upmove", Price_Header,0)))))</f>
        <v>0.10857142857142847</v>
      </c>
      <c r="Q58" s="46">
        <f ca="1">IF(ROW($O58)-5&lt;RSI_Periods, "", AVERAGE(INDIRECT(ADDRESS(ROW($O58)-RSI_Periods +1, MATCH("Downmove", Price_Header,0))): INDIRECT(ADDRESS(ROW($O58),MATCH("Downmove", Price_Header,0)))))</f>
        <v>0.14285714285714279</v>
      </c>
      <c r="R58" s="46">
        <f ca="1">IF(tbl_APHA[[#This Row],[Avg_Upmove]]="", "", tbl_APHA[[#This Row],[Avg_Upmove]]/tbl_APHA[[#This Row],[Avg_Downmove]])</f>
        <v>0.75999999999999968</v>
      </c>
      <c r="S58" s="10">
        <f ca="1">IF(ROW($N58)-4&lt;BB_Periods, "", _xlfn.STDEV.S(INDIRECT(ADDRESS(ROW($F58)-RSI_Periods +1, MATCH("Adj Close", Price_Header,0))): INDIRECT(ADDRESS(ROW($F58),MATCH("Adj Close", Price_Header,0)))))</f>
        <v>0.63519184607383572</v>
      </c>
    </row>
    <row r="59" spans="1:19" x14ac:dyDescent="0.35">
      <c r="A59" s="8">
        <v>44130</v>
      </c>
      <c r="B59" s="10">
        <v>4.54</v>
      </c>
      <c r="C59" s="10">
        <v>4.66</v>
      </c>
      <c r="D59" s="10">
        <v>4.51</v>
      </c>
      <c r="E59" s="10">
        <v>4.57</v>
      </c>
      <c r="F59" s="10">
        <v>4.57</v>
      </c>
      <c r="G59">
        <v>4966700</v>
      </c>
      <c r="H59" s="10">
        <f>IF(tbl_APHA[[#This Row],[Date]]=$A$5, $F59, EMA_Beta*$H58 + (1-EMA_Beta)*$F59)</f>
        <v>4.8701960973094298</v>
      </c>
      <c r="I59" s="46">
        <f ca="1">IF(tbl_APHA[[#This Row],[RS]]= "", "", 100-(100/(1+tbl_APHA[[#This Row],[RS]])))</f>
        <v>45.029239766081872</v>
      </c>
      <c r="J59" s="10">
        <f ca="1">IF(ROW($N59)-4&lt;BB_Periods, "", AVERAGE(INDIRECT(ADDRESS(ROW($F59)-RSI_Periods +1, MATCH("Adj Close", Price_Header,0))): INDIRECT(ADDRESS(ROW($F59),MATCH("Adj Close", Price_Header,0)))))</f>
        <v>5.1549999999999994</v>
      </c>
      <c r="K59" s="10">
        <f ca="1">IF(tbl_APHA[[#This Row],[BB_Mean]]="", "", tbl_APHA[[#This Row],[BB_Mean]]+(BB_Width*tbl_APHA[[#This Row],[BB_Stdev]]))</f>
        <v>6.4600847305237261</v>
      </c>
      <c r="L59" s="10">
        <f ca="1">IF(tbl_APHA[[#This Row],[BB_Mean]]="", "", tbl_APHA[[#This Row],[BB_Mean]]-(BB_Width*tbl_APHA[[#This Row],[BB_Stdev]]))</f>
        <v>3.8499152694762726</v>
      </c>
      <c r="M59" s="46">
        <f>IF(ROW(tbl_APHA[[#This Row],[Adj Close]])=5, 0, $F59-$F58)</f>
        <v>2.0000000000000462E-2</v>
      </c>
      <c r="N59" s="46">
        <f>MAX(tbl_APHA[[#This Row],[Move]],0)</f>
        <v>2.0000000000000462E-2</v>
      </c>
      <c r="O59" s="46">
        <f>MAX(-tbl_APHA[[#This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0.10999999999999995</v>
      </c>
      <c r="Q59" s="46">
        <f ca="1">IF(ROW($O59)-5&lt;RSI_Periods, "", AVERAGE(INDIRECT(ADDRESS(ROW($O59)-RSI_Periods +1, MATCH("Downmove", Price_Header,0))): INDIRECT(ADDRESS(ROW($O59),MATCH("Downmove", Price_Header,0)))))</f>
        <v>0.1342857142857142</v>
      </c>
      <c r="R59" s="46">
        <f ca="1">IF(tbl_APHA[[#This Row],[Avg_Upmove]]="", "", tbl_APHA[[#This Row],[Avg_Upmove]]/tbl_APHA[[#This Row],[Avg_Downmove]])</f>
        <v>0.81914893617021289</v>
      </c>
      <c r="S59" s="10">
        <f ca="1">IF(ROW($N59)-4&lt;BB_Periods, "", _xlfn.STDEV.S(INDIRECT(ADDRESS(ROW($F59)-RSI_Periods +1, MATCH("Adj Close", Price_Header,0))): INDIRECT(ADDRESS(ROW($F59),MATCH("Adj Close", Price_Header,0)))))</f>
        <v>0.65254236526186349</v>
      </c>
    </row>
    <row r="60" spans="1:19" x14ac:dyDescent="0.35">
      <c r="A60" s="8">
        <v>44131</v>
      </c>
      <c r="B60" s="10">
        <v>4.5599999999999996</v>
      </c>
      <c r="C60" s="10">
        <v>4.74</v>
      </c>
      <c r="D60" s="10">
        <v>4.55</v>
      </c>
      <c r="E60" s="10">
        <v>4.68</v>
      </c>
      <c r="F60" s="10">
        <v>4.68</v>
      </c>
      <c r="G60">
        <v>3657200</v>
      </c>
      <c r="H60" s="10">
        <f>IF(tbl_APHA[[#This Row],[Date]]=$A$5, $F60, EMA_Beta*$H59 + (1-EMA_Beta)*$F60)</f>
        <v>4.8511764875784866</v>
      </c>
      <c r="I60" s="46">
        <f ca="1">IF(tbl_APHA[[#This Row],[RS]]= "", "", 100-(100/(1+tbl_APHA[[#This Row],[RS]])))</f>
        <v>43.030303030303031</v>
      </c>
      <c r="J60" s="10">
        <f ca="1">IF(ROW($N60)-4&lt;BB_Periods, "", AVERAGE(INDIRECT(ADDRESS(ROW($F60)-RSI_Periods +1, MATCH("Adj Close", Price_Header,0))): INDIRECT(ADDRESS(ROW($F60),MATCH("Adj Close", Price_Header,0)))))</f>
        <v>5.1221428571428573</v>
      </c>
      <c r="K60" s="10">
        <f ca="1">IF(tbl_APHA[[#This Row],[BB_Mean]]="", "", tbl_APHA[[#This Row],[BB_Mean]]+(BB_Width*tbl_APHA[[#This Row],[BB_Stdev]]))</f>
        <v>6.4517854597054516</v>
      </c>
      <c r="L60" s="10">
        <f ca="1">IF(tbl_APHA[[#This Row],[BB_Mean]]="", "", tbl_APHA[[#This Row],[BB_Mean]]-(BB_Width*tbl_APHA[[#This Row],[BB_Stdev]]))</f>
        <v>3.7925002545802626</v>
      </c>
      <c r="M60" s="46">
        <f>IF(ROW(tbl_APHA[[#This Row],[Adj Close]])=5, 0, $F60-$F59)</f>
        <v>0.10999999999999943</v>
      </c>
      <c r="N60" s="46">
        <f>MAX(tbl_APHA[[#This Row],[Move]],0)</f>
        <v>0.10999999999999943</v>
      </c>
      <c r="O60" s="46">
        <f>MAX(-tbl_APHA[[#This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0.10142857142857135</v>
      </c>
      <c r="Q60" s="46">
        <f ca="1">IF(ROW($O60)-5&lt;RSI_Periods, "", AVERAGE(INDIRECT(ADDRESS(ROW($O60)-RSI_Periods +1, MATCH("Downmove", Price_Header,0))): INDIRECT(ADDRESS(ROW($O60),MATCH("Downmove", Price_Header,0)))))</f>
        <v>0.1342857142857142</v>
      </c>
      <c r="R60" s="46">
        <f ca="1">IF(tbl_APHA[[#This Row],[Avg_Upmove]]="", "", tbl_APHA[[#This Row],[Avg_Upmove]]/tbl_APHA[[#This Row],[Avg_Downmove]])</f>
        <v>0.75531914893617014</v>
      </c>
      <c r="S60" s="10">
        <f ca="1">IF(ROW($N60)-4&lt;BB_Periods, "", _xlfn.STDEV.S(INDIRECT(ADDRESS(ROW($F60)-RSI_Periods +1, MATCH("Adj Close", Price_Header,0))): INDIRECT(ADDRESS(ROW($F60),MATCH("Adj Close", Price_Header,0)))))</f>
        <v>0.66482130128129735</v>
      </c>
    </row>
    <row r="61" spans="1:19" x14ac:dyDescent="0.35">
      <c r="A61" s="8">
        <v>44132</v>
      </c>
      <c r="B61" s="10">
        <v>4.54</v>
      </c>
      <c r="C61" s="10">
        <v>4.57</v>
      </c>
      <c r="D61" s="10">
        <v>4.4000000000000004</v>
      </c>
      <c r="E61" s="10">
        <v>4.43</v>
      </c>
      <c r="F61" s="10">
        <v>4.43</v>
      </c>
      <c r="G61">
        <v>5200800</v>
      </c>
      <c r="H61" s="10">
        <f>IF(tbl_APHA[[#This Row],[Date]]=$A$5, $F61, EMA_Beta*$H60 + (1-EMA_Beta)*$F61)</f>
        <v>4.8090588388206381</v>
      </c>
      <c r="I61" s="46">
        <f ca="1">IF(tbl_APHA[[#This Row],[RS]]= "", "", 100-(100/(1+tbl_APHA[[#This Row],[RS]])))</f>
        <v>29.470198675496675</v>
      </c>
      <c r="J61" s="10">
        <f ca="1">IF(ROW($N61)-4&lt;BB_Periods, "", AVERAGE(INDIRECT(ADDRESS(ROW($F61)-RSI_Periods +1, MATCH("Adj Close", Price_Header,0))): INDIRECT(ADDRESS(ROW($F61),MATCH("Adj Close", Price_Header,0)))))</f>
        <v>5.0335714285714284</v>
      </c>
      <c r="K61" s="10">
        <f ca="1">IF(tbl_APHA[[#This Row],[BB_Mean]]="", "", tbl_APHA[[#This Row],[BB_Mean]]+(BB_Width*tbl_APHA[[#This Row],[BB_Stdev]]))</f>
        <v>6.3711837017681789</v>
      </c>
      <c r="L61" s="10">
        <f ca="1">IF(tbl_APHA[[#This Row],[BB_Mean]]="", "", tbl_APHA[[#This Row],[BB_Mean]]-(BB_Width*tbl_APHA[[#This Row],[BB_Stdev]]))</f>
        <v>3.6959591553746778</v>
      </c>
      <c r="M61" s="46">
        <f>IF(ROW(tbl_APHA[[#This Row],[Adj Close]])=5, 0, $F61-$F60)</f>
        <v>-0.25</v>
      </c>
      <c r="N61" s="46">
        <f>MAX(tbl_APHA[[#This Row],[Move]],0)</f>
        <v>0</v>
      </c>
      <c r="O61" s="46">
        <f>MAX(-tbl_APHA[[#This Row],[Move]],0)</f>
        <v>0.25</v>
      </c>
      <c r="P61" s="46">
        <f ca="1">IF(ROW($N61)-5&lt;RSI_Periods, "", AVERAGE(INDIRECT(ADDRESS(ROW($N61)-RSI_Periods +1, MATCH("Upmove", Price_Header,0))): INDIRECT(ADDRESS(ROW($N61),MATCH("Upmove", Price_Header,0)))))</f>
        <v>6.3571428571428487E-2</v>
      </c>
      <c r="Q61" s="46">
        <f ca="1">IF(ROW($O61)-5&lt;RSI_Periods, "", AVERAGE(INDIRECT(ADDRESS(ROW($O61)-RSI_Periods +1, MATCH("Downmove", Price_Header,0))): INDIRECT(ADDRESS(ROW($O61),MATCH("Downmove", Price_Header,0)))))</f>
        <v>0.15214285714285708</v>
      </c>
      <c r="R61" s="46">
        <f ca="1">IF(tbl_APHA[[#This Row],[Avg_Upmove]]="", "", tbl_APHA[[#This Row],[Avg_Upmove]]/tbl_APHA[[#This Row],[Avg_Downmove]])</f>
        <v>0.41784037558685411</v>
      </c>
      <c r="S61" s="10">
        <f ca="1">IF(ROW($N61)-4&lt;BB_Periods, "", _xlfn.STDEV.S(INDIRECT(ADDRESS(ROW($F61)-RSI_Periods +1, MATCH("Adj Close", Price_Header,0))): INDIRECT(ADDRESS(ROW($F61),MATCH("Adj Close", Price_Header,0)))))</f>
        <v>0.6688061365983754</v>
      </c>
    </row>
    <row r="62" spans="1:19" x14ac:dyDescent="0.35">
      <c r="A62" s="8">
        <v>44133</v>
      </c>
      <c r="B62" s="10">
        <v>4.45</v>
      </c>
      <c r="C62" s="10">
        <v>4.51</v>
      </c>
      <c r="D62" s="10">
        <v>4.37</v>
      </c>
      <c r="E62" s="10">
        <v>4.49</v>
      </c>
      <c r="F62" s="10">
        <v>4.49</v>
      </c>
      <c r="G62">
        <v>4187200</v>
      </c>
      <c r="H62" s="10">
        <f>IF(tbl_APHA[[#This Row],[Date]]=$A$5, $F62, EMA_Beta*$H61 + (1-EMA_Beta)*$F62)</f>
        <v>4.7771529549385745</v>
      </c>
      <c r="I62" s="46">
        <f ca="1">IF(tbl_APHA[[#This Row],[RS]]= "", "", 100-(100/(1+tbl_APHA[[#This Row],[RS]])))</f>
        <v>29</v>
      </c>
      <c r="J62" s="10">
        <f ca="1">IF(ROW($N62)-4&lt;BB_Periods, "", AVERAGE(INDIRECT(ADDRESS(ROW($F62)-RSI_Periods +1, MATCH("Adj Close", Price_Header,0))): INDIRECT(ADDRESS(ROW($F62),MATCH("Adj Close", Price_Header,0)))))</f>
        <v>4.9435714285714285</v>
      </c>
      <c r="K62" s="10">
        <f ca="1">IF(tbl_APHA[[#This Row],[BB_Mean]]="", "", tbl_APHA[[#This Row],[BB_Mean]]+(BB_Width*tbl_APHA[[#This Row],[BB_Stdev]]))</f>
        <v>6.2425321289388149</v>
      </c>
      <c r="L62" s="10">
        <f ca="1">IF(tbl_APHA[[#This Row],[BB_Mean]]="", "", tbl_APHA[[#This Row],[BB_Mean]]-(BB_Width*tbl_APHA[[#This Row],[BB_Stdev]]))</f>
        <v>3.6446107282040421</v>
      </c>
      <c r="M62" s="46">
        <f>IF(ROW(tbl_APHA[[#This Row],[Adj Close]])=5, 0, $F62-$F61)</f>
        <v>6.0000000000000497E-2</v>
      </c>
      <c r="N62" s="46">
        <f>MAX(tbl_APHA[[#This Row],[Move]],0)</f>
        <v>6.0000000000000497E-2</v>
      </c>
      <c r="O62" s="46">
        <f>MAX(-tbl_APHA[[#This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6.214285714285709E-2</v>
      </c>
      <c r="Q62" s="46">
        <f ca="1">IF(ROW($O62)-5&lt;RSI_Periods, "", AVERAGE(INDIRECT(ADDRESS(ROW($O62)-RSI_Periods +1, MATCH("Downmove", Price_Header,0))): INDIRECT(ADDRESS(ROW($O62),MATCH("Downmove", Price_Header,0)))))</f>
        <v>0.15214285714285708</v>
      </c>
      <c r="R62" s="46">
        <f ca="1">IF(tbl_APHA[[#This Row],[Avg_Upmove]]="", "", tbl_APHA[[#This Row],[Avg_Upmove]]/tbl_APHA[[#This Row],[Avg_Downmove]])</f>
        <v>0.40845070422535196</v>
      </c>
      <c r="S62" s="10">
        <f ca="1">IF(ROW($N62)-4&lt;BB_Periods, "", _xlfn.STDEV.S(INDIRECT(ADDRESS(ROW($F62)-RSI_Periods +1, MATCH("Adj Close", Price_Header,0))): INDIRECT(ADDRESS(ROW($F62),MATCH("Adj Close", Price_Header,0)))))</f>
        <v>0.64948035018369332</v>
      </c>
    </row>
    <row r="63" spans="1:19" x14ac:dyDescent="0.35">
      <c r="A63" s="8">
        <v>44134</v>
      </c>
      <c r="B63" s="10">
        <v>4.4400000000000004</v>
      </c>
      <c r="C63" s="10">
        <v>4.5</v>
      </c>
      <c r="D63" s="10">
        <v>4.3099999999999996</v>
      </c>
      <c r="E63" s="10">
        <v>4.5</v>
      </c>
      <c r="F63" s="10">
        <v>4.5</v>
      </c>
      <c r="G63">
        <v>4090900</v>
      </c>
      <c r="H63" s="10">
        <f>IF(tbl_APHA[[#This Row],[Date]]=$A$5, $F63, EMA_Beta*$H62 + (1-EMA_Beta)*$F63)</f>
        <v>4.749437659444717</v>
      </c>
      <c r="I63" s="46">
        <f ca="1">IF(tbl_APHA[[#This Row],[RS]]= "", "", 100-(100/(1+tbl_APHA[[#This Row],[RS]])))</f>
        <v>10.878661087866078</v>
      </c>
      <c r="J63" s="10">
        <f ca="1">IF(ROW($N63)-4&lt;BB_Periods, "", AVERAGE(INDIRECT(ADDRESS(ROW($F63)-RSI_Periods +1, MATCH("Adj Close", Price_Header,0))): INDIRECT(ADDRESS(ROW($F63),MATCH("Adj Close", Price_Header,0)))))</f>
        <v>4.8100000000000005</v>
      </c>
      <c r="K63" s="10">
        <f ca="1">IF(tbl_APHA[[#This Row],[BB_Mean]]="", "", tbl_APHA[[#This Row],[BB_Mean]]+(BB_Width*tbl_APHA[[#This Row],[BB_Stdev]]))</f>
        <v>5.832214790013853</v>
      </c>
      <c r="L63" s="10">
        <f ca="1">IF(tbl_APHA[[#This Row],[BB_Mean]]="", "", tbl_APHA[[#This Row],[BB_Mean]]-(BB_Width*tbl_APHA[[#This Row],[BB_Stdev]]))</f>
        <v>3.787785209986148</v>
      </c>
      <c r="M63" s="46">
        <f>IF(ROW(tbl_APHA[[#This Row],[Adj Close]])=5, 0, $F63-$F62)</f>
        <v>9.9999999999997868E-3</v>
      </c>
      <c r="N63" s="46">
        <f>MAX(tbl_APHA[[#This Row],[Move]],0)</f>
        <v>9.9999999999997868E-3</v>
      </c>
      <c r="O63" s="46">
        <f>MAX(-tbl_APHA[[#This Row],[Move]],0)</f>
        <v>0</v>
      </c>
      <c r="P63" s="46">
        <f ca="1">IF(ROW($N63)-5&lt;RSI_Periods, "", AVERAGE(INDIRECT(ADDRESS(ROW($N63)-RSI_Periods +1, MATCH("Upmove", Price_Header,0))): INDIRECT(ADDRESS(ROW($N63),MATCH("Upmove", Price_Header,0)))))</f>
        <v>1.8571428571428492E-2</v>
      </c>
      <c r="Q63" s="46">
        <f ca="1">IF(ROW($O63)-5&lt;RSI_Periods, "", AVERAGE(INDIRECT(ADDRESS(ROW($O63)-RSI_Periods +1, MATCH("Downmove", Price_Header,0))): INDIRECT(ADDRESS(ROW($O63),MATCH("Downmove", Price_Header,0)))))</f>
        <v>0.15214285714285708</v>
      </c>
      <c r="R63" s="46">
        <f ca="1">IF(tbl_APHA[[#This Row],[Avg_Upmove]]="", "", tbl_APHA[[#This Row],[Avg_Upmove]]/tbl_APHA[[#This Row],[Avg_Downmove]])</f>
        <v>0.12206572769953004</v>
      </c>
      <c r="S63" s="10">
        <f ca="1">IF(ROW($N63)-4&lt;BB_Periods, "", _xlfn.STDEV.S(INDIRECT(ADDRESS(ROW($F63)-RSI_Periods +1, MATCH("Adj Close", Price_Header,0))): INDIRECT(ADDRESS(ROW($F63),MATCH("Adj Close", Price_Header,0)))))</f>
        <v>0.51110739500692615</v>
      </c>
    </row>
    <row r="64" spans="1:19" x14ac:dyDescent="0.35">
      <c r="A64" s="8">
        <v>44137</v>
      </c>
      <c r="B64" s="10">
        <v>4.54</v>
      </c>
      <c r="C64" s="10">
        <v>5.1100000000000003</v>
      </c>
      <c r="D64" s="10">
        <v>4.53</v>
      </c>
      <c r="E64" s="10">
        <v>5.03</v>
      </c>
      <c r="F64" s="10">
        <v>5.03</v>
      </c>
      <c r="G64">
        <v>11765900</v>
      </c>
      <c r="H64" s="10">
        <f>IF(tbl_APHA[[#This Row],[Date]]=$A$5, $F64, EMA_Beta*$H63 + (1-EMA_Beta)*$F64)</f>
        <v>4.7774938935002451</v>
      </c>
      <c r="I64" s="46">
        <f ca="1">IF(tbl_APHA[[#This Row],[RS]]= "", "", 100-(100/(1+tbl_APHA[[#This Row],[RS]])))</f>
        <v>29.811320754716974</v>
      </c>
      <c r="J64" s="10">
        <f ca="1">IF(ROW($N64)-4&lt;BB_Periods, "", AVERAGE(INDIRECT(ADDRESS(ROW($F64)-RSI_Periods +1, MATCH("Adj Close", Price_Header,0))): INDIRECT(ADDRESS(ROW($F64),MATCH("Adj Close", Price_Header,0)))))</f>
        <v>4.7335714285714285</v>
      </c>
      <c r="K64" s="10">
        <f ca="1">IF(tbl_APHA[[#This Row],[BB_Mean]]="", "", tbl_APHA[[#This Row],[BB_Mean]]+(BB_Width*tbl_APHA[[#This Row],[BB_Stdev]]))</f>
        <v>5.4564974123498358</v>
      </c>
      <c r="L64" s="10">
        <f ca="1">IF(tbl_APHA[[#This Row],[BB_Mean]]="", "", tbl_APHA[[#This Row],[BB_Mean]]-(BB_Width*tbl_APHA[[#This Row],[BB_Stdev]]))</f>
        <v>4.0106454447930213</v>
      </c>
      <c r="M64" s="46">
        <f>IF(ROW(tbl_APHA[[#This Row],[Adj Close]])=5, 0, $F64-$F63)</f>
        <v>0.53000000000000025</v>
      </c>
      <c r="N64" s="46">
        <f>MAX(tbl_APHA[[#This Row],[Move]],0)</f>
        <v>0.53000000000000025</v>
      </c>
      <c r="O64" s="46">
        <f>MAX(-tbl_APHA[[#This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5.642857142857137E-2</v>
      </c>
      <c r="Q64" s="46">
        <f ca="1">IF(ROW($O64)-5&lt;RSI_Periods, "", AVERAGE(INDIRECT(ADDRESS(ROW($O64)-RSI_Periods +1, MATCH("Downmove", Price_Header,0))): INDIRECT(ADDRESS(ROW($O64),MATCH("Downmove", Price_Header,0)))))</f>
        <v>0.13285714285714276</v>
      </c>
      <c r="R64" s="46">
        <f ca="1">IF(tbl_APHA[[#This Row],[Avg_Upmove]]="", "", tbl_APHA[[#This Row],[Avg_Upmove]]/tbl_APHA[[#This Row],[Avg_Downmove]])</f>
        <v>0.42473118279569883</v>
      </c>
      <c r="S64" s="10">
        <f ca="1">IF(ROW($N64)-4&lt;BB_Periods, "", _xlfn.STDEV.S(INDIRECT(ADDRESS(ROW($F64)-RSI_Periods +1, MATCH("Adj Close", Price_Header,0))): INDIRECT(ADDRESS(ROW($F64),MATCH("Adj Close", Price_Header,0)))))</f>
        <v>0.36146299188920361</v>
      </c>
    </row>
    <row r="65" spans="1:19" x14ac:dyDescent="0.35">
      <c r="A65" s="8">
        <v>44138</v>
      </c>
      <c r="B65" s="10">
        <v>5.16</v>
      </c>
      <c r="C65" s="10">
        <v>5.17</v>
      </c>
      <c r="D65" s="10">
        <v>4.8099999999999996</v>
      </c>
      <c r="E65" s="10">
        <v>4.99</v>
      </c>
      <c r="F65" s="10">
        <v>4.99</v>
      </c>
      <c r="G65">
        <v>9284700</v>
      </c>
      <c r="H65" s="10">
        <f>IF(tbl_APHA[[#This Row],[Date]]=$A$5, $F65, EMA_Beta*$H64 + (1-EMA_Beta)*$F65)</f>
        <v>4.7987445041502204</v>
      </c>
      <c r="I65" s="46">
        <f ca="1">IF(tbl_APHA[[#This Row],[RS]]= "", "", 100-(100/(1+tbl_APHA[[#This Row],[RS]])))</f>
        <v>31.983805668016188</v>
      </c>
      <c r="J65" s="10">
        <f ca="1">IF(ROW($N65)-4&lt;BB_Periods, "", AVERAGE(INDIRECT(ADDRESS(ROW($F65)-RSI_Periods +1, MATCH("Adj Close", Price_Header,0))): INDIRECT(ADDRESS(ROW($F65),MATCH("Adj Close", Price_Header,0)))))</f>
        <v>4.67</v>
      </c>
      <c r="K65" s="10">
        <f ca="1">IF(tbl_APHA[[#This Row],[BB_Mean]]="", "", tbl_APHA[[#This Row],[BB_Mean]]+(BB_Width*tbl_APHA[[#This Row],[BB_Stdev]]))</f>
        <v>5.0179168777828318</v>
      </c>
      <c r="L65" s="10">
        <f ca="1">IF(tbl_APHA[[#This Row],[BB_Mean]]="", "", tbl_APHA[[#This Row],[BB_Mean]]-(BB_Width*tbl_APHA[[#This Row],[BB_Stdev]]))</f>
        <v>4.3220831222171681</v>
      </c>
      <c r="M65" s="46">
        <f>IF(ROW(tbl_APHA[[#This Row],[Adj Close]])=5, 0, $F65-$F64)</f>
        <v>-4.0000000000000036E-2</v>
      </c>
      <c r="N65" s="46">
        <f>MAX(tbl_APHA[[#This Row],[Move]],0)</f>
        <v>0</v>
      </c>
      <c r="O65" s="46">
        <f>MAX(-tbl_APHA[[#This Row],[Move]],0)</f>
        <v>4.0000000000000036E-2</v>
      </c>
      <c r="P65" s="46">
        <f ca="1">IF(ROW($N65)-5&lt;RSI_Periods, "", AVERAGE(INDIRECT(ADDRESS(ROW($N65)-RSI_Periods +1, MATCH("Upmove", Price_Header,0))): INDIRECT(ADDRESS(ROW($N65),MATCH("Upmove", Price_Header,0)))))</f>
        <v>5.642857142857137E-2</v>
      </c>
      <c r="Q65" s="46">
        <f ca="1">IF(ROW($O65)-5&lt;RSI_Periods, "", AVERAGE(INDIRECT(ADDRESS(ROW($O65)-RSI_Periods +1, MATCH("Downmove", Price_Header,0))): INDIRECT(ADDRESS(ROW($O65),MATCH("Downmove", Price_Header,0)))))</f>
        <v>0.11999999999999991</v>
      </c>
      <c r="R65" s="46">
        <f ca="1">IF(tbl_APHA[[#This Row],[Avg_Upmove]]="", "", tbl_APHA[[#This Row],[Avg_Upmove]]/tbl_APHA[[#This Row],[Avg_Downmove]])</f>
        <v>0.47023809523809507</v>
      </c>
      <c r="S65" s="10">
        <f ca="1">IF(ROW($N65)-4&lt;BB_Periods, "", _xlfn.STDEV.S(INDIRECT(ADDRESS(ROW($F65)-RSI_Periods +1, MATCH("Adj Close", Price_Header,0))): INDIRECT(ADDRESS(ROW($F65),MATCH("Adj Close", Price_Header,0)))))</f>
        <v>0.17395843889141591</v>
      </c>
    </row>
    <row r="66" spans="1:19" x14ac:dyDescent="0.35">
      <c r="A66" s="8">
        <v>44139</v>
      </c>
      <c r="B66" s="10">
        <v>4.87</v>
      </c>
      <c r="C66" s="10">
        <v>5.05</v>
      </c>
      <c r="D66" s="10">
        <v>4.6500000000000004</v>
      </c>
      <c r="E66" s="10">
        <v>4.97</v>
      </c>
      <c r="F66" s="10">
        <v>4.97</v>
      </c>
      <c r="G66">
        <v>8954100</v>
      </c>
      <c r="H66" s="10">
        <f>IF(tbl_APHA[[#This Row],[Date]]=$A$5, $F66, EMA_Beta*$H65 + (1-EMA_Beta)*$F66)</f>
        <v>4.8158700537351979</v>
      </c>
      <c r="I66" s="46">
        <f ca="1">IF(tbl_APHA[[#This Row],[RS]]= "", "", 100-(100/(1+tbl_APHA[[#This Row],[RS]])))</f>
        <v>56.028368794326248</v>
      </c>
      <c r="J66" s="10">
        <f ca="1">IF(ROW($N66)-4&lt;BB_Periods, "", AVERAGE(INDIRECT(ADDRESS(ROW($F66)-RSI_Periods +1, MATCH("Adj Close", Price_Header,0))): INDIRECT(ADDRESS(ROW($F66),MATCH("Adj Close", Price_Header,0)))))</f>
        <v>4.6821428571428578</v>
      </c>
      <c r="K66" s="10">
        <f ca="1">IF(tbl_APHA[[#This Row],[BB_Mean]]="", "", tbl_APHA[[#This Row],[BB_Mean]]+(BB_Width*tbl_APHA[[#This Row],[BB_Stdev]]))</f>
        <v>5.0601683810209375</v>
      </c>
      <c r="L66" s="10">
        <f ca="1">IF(tbl_APHA[[#This Row],[BB_Mean]]="", "", tbl_APHA[[#This Row],[BB_Mean]]-(BB_Width*tbl_APHA[[#This Row],[BB_Stdev]]))</f>
        <v>4.3041173332647782</v>
      </c>
      <c r="M66" s="46">
        <f>IF(ROW(tbl_APHA[[#This Row],[Adj Close]])=5, 0, $F66-$F65)</f>
        <v>-2.0000000000000462E-2</v>
      </c>
      <c r="N66" s="46">
        <f>MAX(tbl_APHA[[#This Row],[Move]],0)</f>
        <v>0</v>
      </c>
      <c r="O66" s="46">
        <f>MAX(-tbl_APHA[[#This Row],[Move]],0)</f>
        <v>2.0000000000000462E-2</v>
      </c>
      <c r="P66" s="46">
        <f ca="1">IF(ROW($N66)-5&lt;RSI_Periods, "", AVERAGE(INDIRECT(ADDRESS(ROW($N66)-RSI_Periods +1, MATCH("Upmove", Price_Header,0))): INDIRECT(ADDRESS(ROW($N66),MATCH("Upmove", Price_Header,0)))))</f>
        <v>5.642857142857137E-2</v>
      </c>
      <c r="Q66" s="46">
        <f ca="1">IF(ROW($O66)-5&lt;RSI_Periods, "", AVERAGE(INDIRECT(ADDRESS(ROW($O66)-RSI_Periods +1, MATCH("Downmove", Price_Header,0))): INDIRECT(ADDRESS(ROW($O66),MATCH("Downmove", Price_Header,0)))))</f>
        <v>4.4285714285714227E-2</v>
      </c>
      <c r="R66" s="46">
        <f ca="1">IF(tbl_APHA[[#This Row],[Avg_Upmove]]="", "", tbl_APHA[[#This Row],[Avg_Upmove]]/tbl_APHA[[#This Row],[Avg_Downmove]])</f>
        <v>1.2741935483870972</v>
      </c>
      <c r="S66" s="10">
        <f ca="1">IF(ROW($N66)-4&lt;BB_Periods, "", _xlfn.STDEV.S(INDIRECT(ADDRESS(ROW($F66)-RSI_Periods +1, MATCH("Adj Close", Price_Header,0))): INDIRECT(ADDRESS(ROW($F66),MATCH("Adj Close", Price_Header,0)))))</f>
        <v>0.18901276193903996</v>
      </c>
    </row>
    <row r="67" spans="1:19" x14ac:dyDescent="0.35">
      <c r="A67" s="8">
        <v>44140</v>
      </c>
      <c r="B67" s="10">
        <v>5.55</v>
      </c>
      <c r="C67" s="10">
        <v>5.65</v>
      </c>
      <c r="D67" s="10">
        <v>5.21</v>
      </c>
      <c r="E67" s="10">
        <v>5.46</v>
      </c>
      <c r="F67" s="10">
        <v>5.46</v>
      </c>
      <c r="G67">
        <v>21475200</v>
      </c>
      <c r="H67" s="10">
        <f>IF(tbl_APHA[[#This Row],[Date]]=$A$5, $F67, EMA_Beta*$H66 + (1-EMA_Beta)*$F67)</f>
        <v>4.8802830483616786</v>
      </c>
      <c r="I67" s="46">
        <f ca="1">IF(tbl_APHA[[#This Row],[RS]]= "", "", 100-(100/(1+tbl_APHA[[#This Row],[RS]])))</f>
        <v>73.142857142857139</v>
      </c>
      <c r="J67" s="10">
        <f ca="1">IF(ROW($N67)-4&lt;BB_Periods, "", AVERAGE(INDIRECT(ADDRESS(ROW($F67)-RSI_Periods +1, MATCH("Adj Close", Price_Header,0))): INDIRECT(ADDRESS(ROW($F67),MATCH("Adj Close", Price_Header,0)))))</f>
        <v>4.74</v>
      </c>
      <c r="K67" s="10">
        <f ca="1">IF(tbl_APHA[[#This Row],[BB_Mean]]="", "", tbl_APHA[[#This Row],[BB_Mean]]+(BB_Width*tbl_APHA[[#This Row],[BB_Stdev]]))</f>
        <v>5.300658952963798</v>
      </c>
      <c r="L67" s="10">
        <f ca="1">IF(tbl_APHA[[#This Row],[BB_Mean]]="", "", tbl_APHA[[#This Row],[BB_Mean]]-(BB_Width*tbl_APHA[[#This Row],[BB_Stdev]]))</f>
        <v>4.1793410470362025</v>
      </c>
      <c r="M67" s="46">
        <f>IF(ROW(tbl_APHA[[#This Row],[Adj Close]])=5, 0, $F67-$F66)</f>
        <v>0.49000000000000021</v>
      </c>
      <c r="N67" s="46">
        <f>MAX(tbl_APHA[[#This Row],[Move]],0)</f>
        <v>0.49000000000000021</v>
      </c>
      <c r="O67" s="46">
        <f>MAX(-tbl_APHA[[#This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9.1428571428571387E-2</v>
      </c>
      <c r="Q67" s="46">
        <f ca="1">IF(ROW($O67)-5&lt;RSI_Periods, "", AVERAGE(INDIRECT(ADDRESS(ROW($O67)-RSI_Periods +1, MATCH("Downmove", Price_Header,0))): INDIRECT(ADDRESS(ROW($O67),MATCH("Downmove", Price_Header,0)))))</f>
        <v>3.3571428571428551E-2</v>
      </c>
      <c r="R67" s="46">
        <f ca="1">IF(tbl_APHA[[#This Row],[Avg_Upmove]]="", "", tbl_APHA[[#This Row],[Avg_Upmove]]/tbl_APHA[[#This Row],[Avg_Downmove]])</f>
        <v>2.7234042553191493</v>
      </c>
      <c r="S67" s="10">
        <f ca="1">IF(ROW($N67)-4&lt;BB_Periods, "", _xlfn.STDEV.S(INDIRECT(ADDRESS(ROW($F67)-RSI_Periods +1, MATCH("Adj Close", Price_Header,0))): INDIRECT(ADDRESS(ROW($F67),MATCH("Adj Close", Price_Header,0)))))</f>
        <v>0.28032947648189871</v>
      </c>
    </row>
    <row r="68" spans="1:19" x14ac:dyDescent="0.35">
      <c r="A68" s="8">
        <v>44141</v>
      </c>
      <c r="B68" s="10">
        <v>5.83</v>
      </c>
      <c r="C68" s="10">
        <v>6.13</v>
      </c>
      <c r="D68" s="10">
        <v>5.37</v>
      </c>
      <c r="E68" s="10">
        <v>5.5</v>
      </c>
      <c r="F68" s="10">
        <v>5.5</v>
      </c>
      <c r="G68">
        <v>41000900</v>
      </c>
      <c r="H68" s="10">
        <f>IF(tbl_APHA[[#This Row],[Date]]=$A$5, $F68, EMA_Beta*$H67 + (1-EMA_Beta)*$F68)</f>
        <v>4.9422547435255106</v>
      </c>
      <c r="I68" s="46">
        <f ca="1">IF(tbl_APHA[[#This Row],[RS]]= "", "", 100-(100/(1+tbl_APHA[[#This Row],[RS]])))</f>
        <v>73.295454545454561</v>
      </c>
      <c r="J68" s="10">
        <f ca="1">IF(ROW($N68)-4&lt;BB_Periods, "", AVERAGE(INDIRECT(ADDRESS(ROW($F68)-RSI_Periods +1, MATCH("Adj Close", Price_Header,0))): INDIRECT(ADDRESS(ROW($F68),MATCH("Adj Close", Price_Header,0)))))</f>
        <v>4.7985714285714289</v>
      </c>
      <c r="K68" s="10">
        <f ca="1">IF(tbl_APHA[[#This Row],[BB_Mean]]="", "", tbl_APHA[[#This Row],[BB_Mean]]+(BB_Width*tbl_APHA[[#This Row],[BB_Stdev]]))</f>
        <v>5.4886263714388965</v>
      </c>
      <c r="L68" s="10">
        <f ca="1">IF(tbl_APHA[[#This Row],[BB_Mean]]="", "", tbl_APHA[[#This Row],[BB_Mean]]-(BB_Width*tbl_APHA[[#This Row],[BB_Stdev]]))</f>
        <v>4.1085164857039613</v>
      </c>
      <c r="M68" s="46">
        <f>IF(ROW(tbl_APHA[[#This Row],[Adj Close]])=5, 0, $F68-$F67)</f>
        <v>4.0000000000000036E-2</v>
      </c>
      <c r="N68" s="46">
        <f>MAX(tbl_APHA[[#This Row],[Move]],0)</f>
        <v>4.0000000000000036E-2</v>
      </c>
      <c r="O68" s="46">
        <f>MAX(-tbl_APHA[[#This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9.2142857142857151E-2</v>
      </c>
      <c r="Q68" s="46">
        <f ca="1">IF(ROW($O68)-5&lt;RSI_Periods, "", AVERAGE(INDIRECT(ADDRESS(ROW($O68)-RSI_Periods +1, MATCH("Downmove", Price_Header,0))): INDIRECT(ADDRESS(ROW($O68),MATCH("Downmove", Price_Header,0)))))</f>
        <v>3.3571428571428551E-2</v>
      </c>
      <c r="R68" s="46">
        <f ca="1">IF(tbl_APHA[[#This Row],[Avg_Upmove]]="", "", tbl_APHA[[#This Row],[Avg_Upmove]]/tbl_APHA[[#This Row],[Avg_Downmove]])</f>
        <v>2.7446808510638316</v>
      </c>
      <c r="S68" s="10">
        <f ca="1">IF(ROW($N68)-4&lt;BB_Periods, "", _xlfn.STDEV.S(INDIRECT(ADDRESS(ROW($F68)-RSI_Periods +1, MATCH("Adj Close", Price_Header,0))): INDIRECT(ADDRESS(ROW($F68),MATCH("Adj Close", Price_Header,0)))))</f>
        <v>0.34502747143373386</v>
      </c>
    </row>
    <row r="69" spans="1:19" x14ac:dyDescent="0.35">
      <c r="A69" s="8">
        <v>44144</v>
      </c>
      <c r="B69" s="10">
        <v>6.27</v>
      </c>
      <c r="C69" s="10">
        <v>6.29</v>
      </c>
      <c r="D69" s="10">
        <v>5.52</v>
      </c>
      <c r="E69" s="10">
        <v>5.54</v>
      </c>
      <c r="F69" s="10">
        <v>5.54</v>
      </c>
      <c r="G69">
        <v>23889400</v>
      </c>
      <c r="H69" s="10">
        <f>IF(tbl_APHA[[#This Row],[Date]]=$A$5, $F69, EMA_Beta*$H68 + (1-EMA_Beta)*$F69)</f>
        <v>5.0020292691729598</v>
      </c>
      <c r="I69" s="46">
        <f ca="1">IF(tbl_APHA[[#This Row],[RS]]= "", "", 100-(100/(1+tbl_APHA[[#This Row],[RS]])))</f>
        <v>75.141242937853093</v>
      </c>
      <c r="J69" s="10">
        <f ca="1">IF(ROW($N69)-4&lt;BB_Periods, "", AVERAGE(INDIRECT(ADDRESS(ROW($F69)-RSI_Periods +1, MATCH("Adj Close", Price_Header,0))): INDIRECT(ADDRESS(ROW($F69),MATCH("Adj Close", Price_Header,0)))))</f>
        <v>4.8621428571428575</v>
      </c>
      <c r="K69" s="10">
        <f ca="1">IF(tbl_APHA[[#This Row],[BB_Mean]]="", "", tbl_APHA[[#This Row],[BB_Mean]]+(BB_Width*tbl_APHA[[#This Row],[BB_Stdev]]))</f>
        <v>5.650253687748986</v>
      </c>
      <c r="L69" s="10">
        <f ca="1">IF(tbl_APHA[[#This Row],[BB_Mean]]="", "", tbl_APHA[[#This Row],[BB_Mean]]-(BB_Width*tbl_APHA[[#This Row],[BB_Stdev]]))</f>
        <v>4.0740320265367291</v>
      </c>
      <c r="M69" s="46">
        <f>IF(ROW(tbl_APHA[[#This Row],[Adj Close]])=5, 0, $F69-$F68)</f>
        <v>4.0000000000000036E-2</v>
      </c>
      <c r="N69" s="46">
        <f>MAX(tbl_APHA[[#This Row],[Move]],0)</f>
        <v>4.0000000000000036E-2</v>
      </c>
      <c r="O69" s="46">
        <f>MAX(-tbl_APHA[[#This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9.5000000000000001E-2</v>
      </c>
      <c r="Q69" s="46">
        <f ca="1">IF(ROW($O69)-5&lt;RSI_Periods, "", AVERAGE(INDIRECT(ADDRESS(ROW($O69)-RSI_Periods +1, MATCH("Downmove", Price_Header,0))): INDIRECT(ADDRESS(ROW($O69),MATCH("Downmove", Price_Header,0)))))</f>
        <v>3.1428571428571458E-2</v>
      </c>
      <c r="R69" s="46">
        <f ca="1">IF(tbl_APHA[[#This Row],[Avg_Upmove]]="", "", tbl_APHA[[#This Row],[Avg_Upmove]]/tbl_APHA[[#This Row],[Avg_Downmove]])</f>
        <v>3.0227272727272698</v>
      </c>
      <c r="S69" s="10">
        <f ca="1">IF(ROW($N69)-4&lt;BB_Periods, "", _xlfn.STDEV.S(INDIRECT(ADDRESS(ROW($F69)-RSI_Periods +1, MATCH("Adj Close", Price_Header,0))): INDIRECT(ADDRESS(ROW($F69),MATCH("Adj Close", Price_Header,0)))))</f>
        <v>0.39405541530306415</v>
      </c>
    </row>
    <row r="70" spans="1:19" x14ac:dyDescent="0.35">
      <c r="A70" s="8">
        <v>44145</v>
      </c>
      <c r="B70" s="10">
        <v>5.45</v>
      </c>
      <c r="C70" s="10">
        <v>5.59</v>
      </c>
      <c r="D70" s="10">
        <v>5.18</v>
      </c>
      <c r="E70" s="10">
        <v>5.53</v>
      </c>
      <c r="F70" s="10">
        <v>5.53</v>
      </c>
      <c r="G70">
        <v>14708600</v>
      </c>
      <c r="H70" s="10">
        <f>IF(tbl_APHA[[#This Row],[Date]]=$A$5, $F70, EMA_Beta*$H69 + (1-EMA_Beta)*$F70)</f>
        <v>5.0548263422556641</v>
      </c>
      <c r="I70" s="46">
        <f ca="1">IF(tbl_APHA[[#This Row],[RS]]= "", "", 100-(100/(1+tbl_APHA[[#This Row],[RS]])))</f>
        <v>74.285714285714292</v>
      </c>
      <c r="J70" s="10">
        <f ca="1">IF(ROW($N70)-4&lt;BB_Periods, "", AVERAGE(INDIRECT(ADDRESS(ROW($F70)-RSI_Periods +1, MATCH("Adj Close", Price_Header,0))): INDIRECT(ADDRESS(ROW($F70),MATCH("Adj Close", Price_Header,0)))))</f>
        <v>4.9228571428571426</v>
      </c>
      <c r="K70" s="10">
        <f ca="1">IF(tbl_APHA[[#This Row],[BB_Mean]]="", "", tbl_APHA[[#This Row],[BB_Mean]]+(BB_Width*tbl_APHA[[#This Row],[BB_Stdev]]))</f>
        <v>5.7785863801001671</v>
      </c>
      <c r="L70" s="10">
        <f ca="1">IF(tbl_APHA[[#This Row],[BB_Mean]]="", "", tbl_APHA[[#This Row],[BB_Mean]]-(BB_Width*tbl_APHA[[#This Row],[BB_Stdev]]))</f>
        <v>4.0671279056141181</v>
      </c>
      <c r="M70" s="46">
        <f>IF(ROW(tbl_APHA[[#This Row],[Adj Close]])=5, 0, $F70-$F69)</f>
        <v>-9.9999999999997868E-3</v>
      </c>
      <c r="N70" s="46">
        <f>MAX(tbl_APHA[[#This Row],[Move]],0)</f>
        <v>0</v>
      </c>
      <c r="O70" s="46">
        <f>MAX(-tbl_APHA[[#This Row],[Move]],0)</f>
        <v>9.9999999999997868E-3</v>
      </c>
      <c r="P70" s="46">
        <f ca="1">IF(ROW($N70)-5&lt;RSI_Periods, "", AVERAGE(INDIRECT(ADDRESS(ROW($N70)-RSI_Periods +1, MATCH("Upmove", Price_Header,0))): INDIRECT(ADDRESS(ROW($N70),MATCH("Upmove", Price_Header,0)))))</f>
        <v>9.2857142857142902E-2</v>
      </c>
      <c r="Q70" s="46">
        <f ca="1">IF(ROW($O70)-5&lt;RSI_Periods, "", AVERAGE(INDIRECT(ADDRESS(ROW($O70)-RSI_Periods +1, MATCH("Downmove", Price_Header,0))): INDIRECT(ADDRESS(ROW($O70),MATCH("Downmove", Price_Header,0)))))</f>
        <v>3.2142857142857154E-2</v>
      </c>
      <c r="R70" s="46">
        <f ca="1">IF(tbl_APHA[[#This Row],[Avg_Upmove]]="", "", tbl_APHA[[#This Row],[Avg_Upmove]]/tbl_APHA[[#This Row],[Avg_Downmove]])</f>
        <v>2.8888888888888893</v>
      </c>
      <c r="S70" s="10">
        <f ca="1">IF(ROW($N70)-4&lt;BB_Periods, "", _xlfn.STDEV.S(INDIRECT(ADDRESS(ROW($F70)-RSI_Periods +1, MATCH("Adj Close", Price_Header,0))): INDIRECT(ADDRESS(ROW($F70),MATCH("Adj Close", Price_Header,0)))))</f>
        <v>0.42786461862151204</v>
      </c>
    </row>
    <row r="71" spans="1:19" x14ac:dyDescent="0.35">
      <c r="A71" s="8">
        <v>44146</v>
      </c>
      <c r="B71" s="10">
        <v>5.45</v>
      </c>
      <c r="C71" s="10">
        <v>5.72</v>
      </c>
      <c r="D71" s="10">
        <v>5.28</v>
      </c>
      <c r="E71" s="10">
        <v>5.55</v>
      </c>
      <c r="F71" s="10">
        <v>5.55</v>
      </c>
      <c r="G71">
        <v>9399600</v>
      </c>
      <c r="H71" s="10">
        <f>IF(tbl_APHA[[#This Row],[Date]]=$A$5, $F71, EMA_Beta*$H70 + (1-EMA_Beta)*$F71)</f>
        <v>5.1043437080300977</v>
      </c>
      <c r="I71" s="46">
        <f ca="1">IF(tbl_APHA[[#This Row],[RS]]= "", "", 100-(100/(1+tbl_APHA[[#This Row],[RS]])))</f>
        <v>74.576271186440678</v>
      </c>
      <c r="J71" s="10">
        <f ca="1">IF(ROW($N71)-4&lt;BB_Periods, "", AVERAGE(INDIRECT(ADDRESS(ROW($F71)-RSI_Periods +1, MATCH("Adj Close", Price_Header,0))): INDIRECT(ADDRESS(ROW($F71),MATCH("Adj Close", Price_Header,0)))))</f>
        <v>4.9849999999999994</v>
      </c>
      <c r="K71" s="10">
        <f ca="1">IF(tbl_APHA[[#This Row],[BB_Mean]]="", "", tbl_APHA[[#This Row],[BB_Mean]]+(BB_Width*tbl_APHA[[#This Row],[BB_Stdev]]))</f>
        <v>5.8897141495012066</v>
      </c>
      <c r="L71" s="10">
        <f ca="1">IF(tbl_APHA[[#This Row],[BB_Mean]]="", "", tbl_APHA[[#This Row],[BB_Mean]]-(BB_Width*tbl_APHA[[#This Row],[BB_Stdev]]))</f>
        <v>4.0802858504987922</v>
      </c>
      <c r="M71" s="46">
        <f>IF(ROW(tbl_APHA[[#This Row],[Adj Close]])=5, 0, $F71-$F70)</f>
        <v>1.9999999999999574E-2</v>
      </c>
      <c r="N71" s="46">
        <f>MAX(tbl_APHA[[#This Row],[Move]],0)</f>
        <v>1.9999999999999574E-2</v>
      </c>
      <c r="O71" s="46">
        <f>MAX(-tbl_APHA[[#This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9.4285714285714306E-2</v>
      </c>
      <c r="Q71" s="46">
        <f ca="1">IF(ROW($O71)-5&lt;RSI_Periods, "", AVERAGE(INDIRECT(ADDRESS(ROW($O71)-RSI_Periods +1, MATCH("Downmove", Price_Header,0))): INDIRECT(ADDRESS(ROW($O71),MATCH("Downmove", Price_Header,0)))))</f>
        <v>3.2142857142857154E-2</v>
      </c>
      <c r="R71" s="46">
        <f ca="1">IF(tbl_APHA[[#This Row],[Avg_Upmove]]="", "", tbl_APHA[[#This Row],[Avg_Upmove]]/tbl_APHA[[#This Row],[Avg_Downmove]])</f>
        <v>2.9333333333333331</v>
      </c>
      <c r="S71" s="10">
        <f ca="1">IF(ROW($N71)-4&lt;BB_Periods, "", _xlfn.STDEV.S(INDIRECT(ADDRESS(ROW($F71)-RSI_Periods +1, MATCH("Adj Close", Price_Header,0))): INDIRECT(ADDRESS(ROW($F71),MATCH("Adj Close", Price_Header,0)))))</f>
        <v>0.45235707475060349</v>
      </c>
    </row>
    <row r="72" spans="1:19" x14ac:dyDescent="0.35">
      <c r="A72" s="8">
        <v>44147</v>
      </c>
      <c r="B72" s="10">
        <v>5.47</v>
      </c>
      <c r="C72" s="10">
        <v>5.69</v>
      </c>
      <c r="D72" s="10">
        <v>5.4</v>
      </c>
      <c r="E72" s="10">
        <v>5.43</v>
      </c>
      <c r="F72" s="10">
        <v>5.43</v>
      </c>
      <c r="G72">
        <v>7397500</v>
      </c>
      <c r="H72" s="10">
        <f>IF(tbl_APHA[[#This Row],[Date]]=$A$5, $F72, EMA_Beta*$H71 + (1-EMA_Beta)*$F72)</f>
        <v>5.1369093372270882</v>
      </c>
      <c r="I72" s="46">
        <f ca="1">IF(tbl_APHA[[#This Row],[RS]]= "", "", 100-(100/(1+tbl_APHA[[#This Row],[RS]])))</f>
        <v>74.999999999999986</v>
      </c>
      <c r="J72" s="10">
        <f ca="1">IF(ROW($N72)-4&lt;BB_Periods, "", AVERAGE(INDIRECT(ADDRESS(ROW($F72)-RSI_Periods +1, MATCH("Adj Close", Price_Header,0))): INDIRECT(ADDRESS(ROW($F72),MATCH("Adj Close", Price_Header,0)))))</f>
        <v>5.0478571428571444</v>
      </c>
      <c r="K72" s="10">
        <f ca="1">IF(tbl_APHA[[#This Row],[BB_Mean]]="", "", tbl_APHA[[#This Row],[BB_Mean]]+(BB_Width*tbl_APHA[[#This Row],[BB_Stdev]]))</f>
        <v>5.9446266809189616</v>
      </c>
      <c r="L72" s="10">
        <f ca="1">IF(tbl_APHA[[#This Row],[BB_Mean]]="", "", tbl_APHA[[#This Row],[BB_Mean]]-(BB_Width*tbl_APHA[[#This Row],[BB_Stdev]]))</f>
        <v>4.1510876047953271</v>
      </c>
      <c r="M72" s="46">
        <f>IF(ROW(tbl_APHA[[#This Row],[Adj Close]])=5, 0, $F72-$F71)</f>
        <v>-0.12000000000000011</v>
      </c>
      <c r="N72" s="46">
        <f>MAX(tbl_APHA[[#This Row],[Move]],0)</f>
        <v>0</v>
      </c>
      <c r="O72" s="46">
        <f>MAX(-tbl_APHA[[#This Row],[Move]],0)</f>
        <v>0.12000000000000011</v>
      </c>
      <c r="P72" s="46">
        <f ca="1">IF(ROW($N72)-5&lt;RSI_Periods, "", AVERAGE(INDIRECT(ADDRESS(ROW($N72)-RSI_Periods +1, MATCH("Upmove", Price_Header,0))): INDIRECT(ADDRESS(ROW($N72),MATCH("Upmove", Price_Header,0)))))</f>
        <v>9.4285714285714306E-2</v>
      </c>
      <c r="Q72" s="46">
        <f ca="1">IF(ROW($O72)-5&lt;RSI_Periods, "", AVERAGE(INDIRECT(ADDRESS(ROW($O72)-RSI_Periods +1, MATCH("Downmove", Price_Header,0))): INDIRECT(ADDRESS(ROW($O72),MATCH("Downmove", Price_Header,0)))))</f>
        <v>3.1428571428571458E-2</v>
      </c>
      <c r="R72" s="46">
        <f ca="1">IF(tbl_APHA[[#This Row],[Avg_Upmove]]="", "", tbl_APHA[[#This Row],[Avg_Upmove]]/tbl_APHA[[#This Row],[Avg_Downmove]])</f>
        <v>2.9999999999999978</v>
      </c>
      <c r="S72" s="10">
        <f ca="1">IF(ROW($N72)-4&lt;BB_Periods, "", _xlfn.STDEV.S(INDIRECT(ADDRESS(ROW($F72)-RSI_Periods +1, MATCH("Adj Close", Price_Header,0))): INDIRECT(ADDRESS(ROW($F72),MATCH("Adj Close", Price_Header,0)))))</f>
        <v>0.44838476903090846</v>
      </c>
    </row>
    <row r="73" spans="1:19" x14ac:dyDescent="0.35">
      <c r="A73" s="8">
        <v>44148</v>
      </c>
      <c r="B73" s="10">
        <v>5.53</v>
      </c>
      <c r="C73" s="10">
        <v>5.78</v>
      </c>
      <c r="D73" s="10">
        <v>5.45</v>
      </c>
      <c r="E73" s="10">
        <v>5.66</v>
      </c>
      <c r="F73" s="10">
        <v>5.66</v>
      </c>
      <c r="G73">
        <v>18084400</v>
      </c>
      <c r="H73" s="10">
        <f>IF(tbl_APHA[[#This Row],[Date]]=$A$5, $F73, EMA_Beta*$H72 + (1-EMA_Beta)*$F73)</f>
        <v>5.1892184035043796</v>
      </c>
      <c r="I73" s="46">
        <f ca="1">IF(tbl_APHA[[#This Row],[RS]]= "", "", 100-(100/(1+tbl_APHA[[#This Row],[RS]])))</f>
        <v>77.664974619289325</v>
      </c>
      <c r="J73" s="10">
        <f ca="1">IF(ROW($N73)-4&lt;BB_Periods, "", AVERAGE(INDIRECT(ADDRESS(ROW($F73)-RSI_Periods +1, MATCH("Adj Close", Price_Header,0))): INDIRECT(ADDRESS(ROW($F73),MATCH("Adj Close", Price_Header,0)))))</f>
        <v>5.1257142857142854</v>
      </c>
      <c r="K73" s="10">
        <f ca="1">IF(tbl_APHA[[#This Row],[BB_Mean]]="", "", tbl_APHA[[#This Row],[BB_Mean]]+(BB_Width*tbl_APHA[[#This Row],[BB_Stdev]]))</f>
        <v>6.0329743802411411</v>
      </c>
      <c r="L73" s="10">
        <f ca="1">IF(tbl_APHA[[#This Row],[BB_Mean]]="", "", tbl_APHA[[#This Row],[BB_Mean]]-(BB_Width*tbl_APHA[[#This Row],[BB_Stdev]]))</f>
        <v>4.2184541911874298</v>
      </c>
      <c r="M73" s="46">
        <f>IF(ROW(tbl_APHA[[#This Row],[Adj Close]])=5, 0, $F73-$F72)</f>
        <v>0.23000000000000043</v>
      </c>
      <c r="N73" s="46">
        <f>MAX(tbl_APHA[[#This Row],[Move]],0)</f>
        <v>0.23000000000000043</v>
      </c>
      <c r="O73" s="46">
        <f>MAX(-tbl_APHA[[#This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0.10928571428571431</v>
      </c>
      <c r="Q73" s="46">
        <f ca="1">IF(ROW($O73)-5&lt;RSI_Periods, "", AVERAGE(INDIRECT(ADDRESS(ROW($O73)-RSI_Periods +1, MATCH("Downmove", Price_Header,0))): INDIRECT(ADDRESS(ROW($O73),MATCH("Downmove", Price_Header,0)))))</f>
        <v>3.1428571428571458E-2</v>
      </c>
      <c r="R73" s="46">
        <f ca="1">IF(tbl_APHA[[#This Row],[Avg_Upmove]]="", "", tbl_APHA[[#This Row],[Avg_Upmove]]/tbl_APHA[[#This Row],[Avg_Downmove]])</f>
        <v>3.4772727272727244</v>
      </c>
      <c r="S73" s="10">
        <f ca="1">IF(ROW($N73)-4&lt;BB_Periods, "", _xlfn.STDEV.S(INDIRECT(ADDRESS(ROW($F73)-RSI_Periods +1, MATCH("Adj Close", Price_Header,0))): INDIRECT(ADDRESS(ROW($F73),MATCH("Adj Close", Price_Header,0)))))</f>
        <v>0.45363004726342787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SUBTOTAL(103,tbl_APHA[BB_Stdev])</f>
        <v>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75A1-A20D-4759-96C0-EE51AEB078DE}">
  <dimension ref="A1:S74"/>
  <sheetViews>
    <sheetView topLeftCell="B1" workbookViewId="0">
      <selection activeCell="B5" sqref="B5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401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45.28</v>
      </c>
      <c r="C5" s="10">
        <v>45.61</v>
      </c>
      <c r="D5" s="10">
        <v>44.8</v>
      </c>
      <c r="E5" s="10">
        <v>45.49</v>
      </c>
      <c r="F5" s="10">
        <v>45.07</v>
      </c>
      <c r="G5">
        <v>383400</v>
      </c>
      <c r="H5" s="10">
        <f>IF(tbl_BEP[[#This Row],[Date]]=$A$5, $F5, EMA_Beta*$H4 + (1-EMA_Beta)*$F5)</f>
        <v>45.07</v>
      </c>
      <c r="I5" s="46" t="str">
        <f ca="1">IF(tbl_BEP[[#This Row],[RS]]= "", "", 100-(100/(1+tbl_BEP[[#This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IF(tbl_BEP[[#This Row],[BB_Mean]]="", "", tbl_BEP[[#This Row],[BB_Mean]]+(BB_Width*tbl_BEP[[#This Row],[BB_Stdev]]))</f>
        <v/>
      </c>
      <c r="L5" s="10" t="str">
        <f ca="1">IF(tbl_BEP[[#This Row],[BB_Mean]]="", "", tbl_BEP[[#This Row],[BB_Mean]]-(BB_Width*tbl_BEP[[#This Row],[BB_Stdev]]))</f>
        <v/>
      </c>
      <c r="M5" s="46">
        <f>IF(ROW(tbl_BEP[[#This Row],[Adj Close]])=5, 0, $F5-$F4)</f>
        <v>0</v>
      </c>
      <c r="N5" s="46">
        <f>MAX(tbl_BEP[[#This Row],[Move]],0)</f>
        <v>0</v>
      </c>
      <c r="O5" s="46">
        <f>MAX(-tbl_BEP[[#This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IF(tbl_BEP[[#This Row],[Avg_Upmove]]="", "", tbl_BEP[[#This Row],[Avg_Upmove]]/tbl_BEP[[#This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45.26</v>
      </c>
      <c r="C6" s="10">
        <v>46.13</v>
      </c>
      <c r="D6" s="10">
        <v>44.46</v>
      </c>
      <c r="E6" s="10">
        <v>44.6</v>
      </c>
      <c r="F6" s="10">
        <v>44.19</v>
      </c>
      <c r="G6">
        <v>323200</v>
      </c>
      <c r="H6" s="10">
        <f>IF(tbl_BEP[[#This Row],[Date]]=$A$5, $F6, EMA_Beta*$H5 + (1-EMA_Beta)*$F6)</f>
        <v>44.981999999999999</v>
      </c>
      <c r="I6" s="46" t="str">
        <f ca="1">IF(tbl_BEP[[#This Row],[RS]]= "", "", 100-(100/(1+tbl_BEP[[#This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IF(tbl_BEP[[#This Row],[BB_Mean]]="", "", tbl_BEP[[#This Row],[BB_Mean]]+(BB_Width*tbl_BEP[[#This Row],[BB_Stdev]]))</f>
        <v/>
      </c>
      <c r="L6" s="10" t="str">
        <f ca="1">IF(tbl_BEP[[#This Row],[BB_Mean]]="", "", tbl_BEP[[#This Row],[BB_Mean]]-(BB_Width*tbl_BEP[[#This Row],[BB_Stdev]]))</f>
        <v/>
      </c>
      <c r="M6" s="46">
        <f>IF(ROW(tbl_BEP[[#This Row],[Adj Close]])=5, 0, $F6-$F5)</f>
        <v>-0.88000000000000256</v>
      </c>
      <c r="N6" s="46">
        <f>MAX(tbl_BEP[[#This Row],[Move]],0)</f>
        <v>0</v>
      </c>
      <c r="O6" s="46">
        <f>MAX(-tbl_BEP[[#This Row],[Move]],0)</f>
        <v>0.88000000000000256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IF(tbl_BEP[[#This Row],[Avg_Upmove]]="", "", tbl_BEP[[#This Row],[Avg_Upmove]]/tbl_BEP[[#This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44.99</v>
      </c>
      <c r="C7" s="10">
        <v>45.56</v>
      </c>
      <c r="D7" s="10">
        <v>44.62</v>
      </c>
      <c r="E7" s="10">
        <v>44.72</v>
      </c>
      <c r="F7" s="10">
        <v>44.31</v>
      </c>
      <c r="G7">
        <v>294900</v>
      </c>
      <c r="H7" s="10">
        <f>IF(tbl_BEP[[#This Row],[Date]]=$A$5, $F7, EMA_Beta*$H6 + (1-EMA_Beta)*$F7)</f>
        <v>44.9148</v>
      </c>
      <c r="I7" s="46" t="str">
        <f ca="1">IF(tbl_BEP[[#This Row],[RS]]= "", "", 100-(100/(1+tbl_BEP[[#This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IF(tbl_BEP[[#This Row],[BB_Mean]]="", "", tbl_BEP[[#This Row],[BB_Mean]]+(BB_Width*tbl_BEP[[#This Row],[BB_Stdev]]))</f>
        <v/>
      </c>
      <c r="L7" s="10" t="str">
        <f ca="1">IF(tbl_BEP[[#This Row],[BB_Mean]]="", "", tbl_BEP[[#This Row],[BB_Mean]]-(BB_Width*tbl_BEP[[#This Row],[BB_Stdev]]))</f>
        <v/>
      </c>
      <c r="M7" s="46">
        <f>IF(ROW(tbl_BEP[[#This Row],[Adj Close]])=5, 0, $F7-$F6)</f>
        <v>0.12000000000000455</v>
      </c>
      <c r="N7" s="46">
        <f>MAX(tbl_BEP[[#This Row],[Move]],0)</f>
        <v>0.12000000000000455</v>
      </c>
      <c r="O7" s="46">
        <f>MAX(-tbl_BEP[[#This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IF(tbl_BEP[[#This Row],[Avg_Upmove]]="", "", tbl_BEP[[#This Row],[Avg_Upmove]]/tbl_BEP[[#This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44.92</v>
      </c>
      <c r="C8" s="10">
        <v>44.94</v>
      </c>
      <c r="D8" s="10">
        <v>43.65</v>
      </c>
      <c r="E8" s="10">
        <v>43.75</v>
      </c>
      <c r="F8" s="10">
        <v>43.35</v>
      </c>
      <c r="G8">
        <v>350500</v>
      </c>
      <c r="H8" s="10">
        <f>IF(tbl_BEP[[#This Row],[Date]]=$A$5, $F8, EMA_Beta*$H7 + (1-EMA_Beta)*$F8)</f>
        <v>44.758320000000005</v>
      </c>
      <c r="I8" s="46" t="str">
        <f ca="1">IF(tbl_BEP[[#This Row],[RS]]= "", "", 100-(100/(1+tbl_BEP[[#This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IF(tbl_BEP[[#This Row],[BB_Mean]]="", "", tbl_BEP[[#This Row],[BB_Mean]]+(BB_Width*tbl_BEP[[#This Row],[BB_Stdev]]))</f>
        <v/>
      </c>
      <c r="L8" s="10" t="str">
        <f ca="1">IF(tbl_BEP[[#This Row],[BB_Mean]]="", "", tbl_BEP[[#This Row],[BB_Mean]]-(BB_Width*tbl_BEP[[#This Row],[BB_Stdev]]))</f>
        <v/>
      </c>
      <c r="M8" s="46">
        <f>IF(ROW(tbl_BEP[[#This Row],[Adj Close]])=5, 0, $F8-$F7)</f>
        <v>-0.96000000000000085</v>
      </c>
      <c r="N8" s="46">
        <f>MAX(tbl_BEP[[#This Row],[Move]],0)</f>
        <v>0</v>
      </c>
      <c r="O8" s="46">
        <f>MAX(-tbl_BEP[[#This Row],[Move]],0)</f>
        <v>0.96000000000000085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IF(tbl_BEP[[#This Row],[Avg_Upmove]]="", "", tbl_BEP[[#This Row],[Avg_Upmove]]/tbl_BEP[[#This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43.71</v>
      </c>
      <c r="C9" s="10">
        <v>43.92</v>
      </c>
      <c r="D9" s="10">
        <v>43.28</v>
      </c>
      <c r="E9" s="10">
        <v>43.4</v>
      </c>
      <c r="F9" s="10">
        <v>43</v>
      </c>
      <c r="G9">
        <v>457200</v>
      </c>
      <c r="H9" s="10">
        <f>IF(tbl_BEP[[#This Row],[Date]]=$A$5, $F9, EMA_Beta*$H8 + (1-EMA_Beta)*$F9)</f>
        <v>44.582488000000005</v>
      </c>
      <c r="I9" s="46" t="str">
        <f ca="1">IF(tbl_BEP[[#This Row],[RS]]= "", "", 100-(100/(1+tbl_BEP[[#This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IF(tbl_BEP[[#This Row],[BB_Mean]]="", "", tbl_BEP[[#This Row],[BB_Mean]]+(BB_Width*tbl_BEP[[#This Row],[BB_Stdev]]))</f>
        <v/>
      </c>
      <c r="L9" s="10" t="str">
        <f ca="1">IF(tbl_BEP[[#This Row],[BB_Mean]]="", "", tbl_BEP[[#This Row],[BB_Mean]]-(BB_Width*tbl_BEP[[#This Row],[BB_Stdev]]))</f>
        <v/>
      </c>
      <c r="M9" s="46">
        <f>IF(ROW(tbl_BEP[[#This Row],[Adj Close]])=5, 0, $F9-$F8)</f>
        <v>-0.35000000000000142</v>
      </c>
      <c r="N9" s="46">
        <f>MAX(tbl_BEP[[#This Row],[Move]],0)</f>
        <v>0</v>
      </c>
      <c r="O9" s="46">
        <f>MAX(-tbl_BEP[[#This Row],[Move]],0)</f>
        <v>0.35000000000000142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IF(tbl_BEP[[#This Row],[Avg_Upmove]]="", "", tbl_BEP[[#This Row],[Avg_Upmove]]/tbl_BEP[[#This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43.42</v>
      </c>
      <c r="C10" s="10">
        <v>44.26</v>
      </c>
      <c r="D10" s="10">
        <v>43.42</v>
      </c>
      <c r="E10" s="10">
        <v>43.81</v>
      </c>
      <c r="F10" s="10">
        <v>43.41</v>
      </c>
      <c r="G10">
        <v>441700</v>
      </c>
      <c r="H10" s="10">
        <f>IF(tbl_BEP[[#This Row],[Date]]=$A$5, $F10, EMA_Beta*$H9 + (1-EMA_Beta)*$F10)</f>
        <v>44.465239200000006</v>
      </c>
      <c r="I10" s="46" t="str">
        <f ca="1">IF(tbl_BEP[[#This Row],[RS]]= "", "", 100-(100/(1+tbl_BEP[[#This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IF(tbl_BEP[[#This Row],[BB_Mean]]="", "", tbl_BEP[[#This Row],[BB_Mean]]+(BB_Width*tbl_BEP[[#This Row],[BB_Stdev]]))</f>
        <v/>
      </c>
      <c r="L10" s="10" t="str">
        <f ca="1">IF(tbl_BEP[[#This Row],[BB_Mean]]="", "", tbl_BEP[[#This Row],[BB_Mean]]-(BB_Width*tbl_BEP[[#This Row],[BB_Stdev]]))</f>
        <v/>
      </c>
      <c r="M10" s="46">
        <f>IF(ROW(tbl_BEP[[#This Row],[Adj Close]])=5, 0, $F10-$F9)</f>
        <v>0.40999999999999659</v>
      </c>
      <c r="N10" s="46">
        <f>MAX(tbl_BEP[[#This Row],[Move]],0)</f>
        <v>0.40999999999999659</v>
      </c>
      <c r="O10" s="46">
        <f>MAX(-tbl_BEP[[#This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IF(tbl_BEP[[#This Row],[Avg_Upmove]]="", "", tbl_BEP[[#This Row],[Avg_Upmove]]/tbl_BEP[[#This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43.88</v>
      </c>
      <c r="C11" s="10">
        <v>44.19</v>
      </c>
      <c r="D11" s="10">
        <v>43.52</v>
      </c>
      <c r="E11" s="10">
        <v>43.57</v>
      </c>
      <c r="F11" s="10">
        <v>43.17</v>
      </c>
      <c r="G11">
        <v>221000</v>
      </c>
      <c r="H11" s="10">
        <f>IF(tbl_BEP[[#This Row],[Date]]=$A$5, $F11, EMA_Beta*$H10 + (1-EMA_Beta)*$F11)</f>
        <v>44.335715280000009</v>
      </c>
      <c r="I11" s="46" t="str">
        <f ca="1">IF(tbl_BEP[[#This Row],[RS]]= "", "", 100-(100/(1+tbl_BEP[[#This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IF(tbl_BEP[[#This Row],[BB_Mean]]="", "", tbl_BEP[[#This Row],[BB_Mean]]+(BB_Width*tbl_BEP[[#This Row],[BB_Stdev]]))</f>
        <v/>
      </c>
      <c r="L11" s="10" t="str">
        <f ca="1">IF(tbl_BEP[[#This Row],[BB_Mean]]="", "", tbl_BEP[[#This Row],[BB_Mean]]-(BB_Width*tbl_BEP[[#This Row],[BB_Stdev]]))</f>
        <v/>
      </c>
      <c r="M11" s="46">
        <f>IF(ROW(tbl_BEP[[#This Row],[Adj Close]])=5, 0, $F11-$F10)</f>
        <v>-0.23999999999999488</v>
      </c>
      <c r="N11" s="46">
        <f>MAX(tbl_BEP[[#This Row],[Move]],0)</f>
        <v>0</v>
      </c>
      <c r="O11" s="46">
        <f>MAX(-tbl_BEP[[#This Row],[Move]],0)</f>
        <v>0.23999999999999488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IF(tbl_BEP[[#This Row],[Avg_Upmove]]="", "", tbl_BEP[[#This Row],[Avg_Upmove]]/tbl_BEP[[#This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43.62</v>
      </c>
      <c r="C12" s="10">
        <v>44.89</v>
      </c>
      <c r="D12" s="10">
        <v>43.55</v>
      </c>
      <c r="E12" s="10">
        <v>44.65</v>
      </c>
      <c r="F12" s="10">
        <v>44.24</v>
      </c>
      <c r="G12">
        <v>834600</v>
      </c>
      <c r="H12" s="10">
        <f>IF(tbl_BEP[[#This Row],[Date]]=$A$5, $F12, EMA_Beta*$H11 + (1-EMA_Beta)*$F12)</f>
        <v>44.326143752000007</v>
      </c>
      <c r="I12" s="46" t="str">
        <f ca="1">IF(tbl_BEP[[#This Row],[RS]]= "", "", 100-(100/(1+tbl_BEP[[#This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IF(tbl_BEP[[#This Row],[BB_Mean]]="", "", tbl_BEP[[#This Row],[BB_Mean]]+(BB_Width*tbl_BEP[[#This Row],[BB_Stdev]]))</f>
        <v/>
      </c>
      <c r="L12" s="10" t="str">
        <f ca="1">IF(tbl_BEP[[#This Row],[BB_Mean]]="", "", tbl_BEP[[#This Row],[BB_Mean]]-(BB_Width*tbl_BEP[[#This Row],[BB_Stdev]]))</f>
        <v/>
      </c>
      <c r="M12" s="46">
        <f>IF(ROW(tbl_BEP[[#This Row],[Adj Close]])=5, 0, $F12-$F11)</f>
        <v>1.0700000000000003</v>
      </c>
      <c r="N12" s="46">
        <f>MAX(tbl_BEP[[#This Row],[Move]],0)</f>
        <v>1.0700000000000003</v>
      </c>
      <c r="O12" s="46">
        <f>MAX(-tbl_BEP[[#This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IF(tbl_BEP[[#This Row],[Avg_Upmove]]="", "", tbl_BEP[[#This Row],[Avg_Upmove]]/tbl_BEP[[#This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44.5</v>
      </c>
      <c r="C13" s="10">
        <v>46.42</v>
      </c>
      <c r="D13" s="10">
        <v>44.29</v>
      </c>
      <c r="E13" s="10">
        <v>46.33</v>
      </c>
      <c r="F13" s="10">
        <v>45.91</v>
      </c>
      <c r="G13">
        <v>491600</v>
      </c>
      <c r="H13" s="10">
        <f>IF(tbl_BEP[[#This Row],[Date]]=$A$5, $F13, EMA_Beta*$H12 + (1-EMA_Beta)*$F13)</f>
        <v>44.484529376800012</v>
      </c>
      <c r="I13" s="46" t="str">
        <f ca="1">IF(tbl_BEP[[#This Row],[RS]]= "", "", 100-(100/(1+tbl_BEP[[#This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IF(tbl_BEP[[#This Row],[BB_Mean]]="", "", tbl_BEP[[#This Row],[BB_Mean]]+(BB_Width*tbl_BEP[[#This Row],[BB_Stdev]]))</f>
        <v/>
      </c>
      <c r="L13" s="10" t="str">
        <f ca="1">IF(tbl_BEP[[#This Row],[BB_Mean]]="", "", tbl_BEP[[#This Row],[BB_Mean]]-(BB_Width*tbl_BEP[[#This Row],[BB_Stdev]]))</f>
        <v/>
      </c>
      <c r="M13" s="46">
        <f>IF(ROW(tbl_BEP[[#This Row],[Adj Close]])=5, 0, $F13-$F12)</f>
        <v>1.6699999999999946</v>
      </c>
      <c r="N13" s="46">
        <f>MAX(tbl_BEP[[#This Row],[Move]],0)</f>
        <v>1.6699999999999946</v>
      </c>
      <c r="O13" s="46">
        <f>MAX(-tbl_BEP[[#This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IF(tbl_BEP[[#This Row],[Avg_Upmove]]="", "", tbl_BEP[[#This Row],[Avg_Upmove]]/tbl_BEP[[#This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46.47</v>
      </c>
      <c r="C14" s="10">
        <v>46.63</v>
      </c>
      <c r="D14" s="10">
        <v>46</v>
      </c>
      <c r="E14" s="10">
        <v>46.14</v>
      </c>
      <c r="F14" s="10">
        <v>45.72</v>
      </c>
      <c r="G14">
        <v>536800</v>
      </c>
      <c r="H14" s="10">
        <f>IF(tbl_BEP[[#This Row],[Date]]=$A$5, $F14, EMA_Beta*$H13 + (1-EMA_Beta)*$F14)</f>
        <v>44.608076439120012</v>
      </c>
      <c r="I14" s="46" t="str">
        <f ca="1">IF(tbl_BEP[[#This Row],[RS]]= "", "", 100-(100/(1+tbl_BEP[[#This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IF(tbl_BEP[[#This Row],[BB_Mean]]="", "", tbl_BEP[[#This Row],[BB_Mean]]+(BB_Width*tbl_BEP[[#This Row],[BB_Stdev]]))</f>
        <v/>
      </c>
      <c r="L14" s="10" t="str">
        <f ca="1">IF(tbl_BEP[[#This Row],[BB_Mean]]="", "", tbl_BEP[[#This Row],[BB_Mean]]-(BB_Width*tbl_BEP[[#This Row],[BB_Stdev]]))</f>
        <v/>
      </c>
      <c r="M14" s="46">
        <f>IF(ROW(tbl_BEP[[#This Row],[Adj Close]])=5, 0, $F14-$F13)</f>
        <v>-0.18999999999999773</v>
      </c>
      <c r="N14" s="46">
        <f>MAX(tbl_BEP[[#This Row],[Move]],0)</f>
        <v>0</v>
      </c>
      <c r="O14" s="46">
        <f>MAX(-tbl_BEP[[#This Row],[Move]],0)</f>
        <v>0.18999999999999773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IF(tbl_BEP[[#This Row],[Avg_Upmove]]="", "", tbl_BEP[[#This Row],[Avg_Upmove]]/tbl_BEP[[#This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46.39</v>
      </c>
      <c r="C15" s="10">
        <v>47.3</v>
      </c>
      <c r="D15" s="10">
        <v>46.1</v>
      </c>
      <c r="E15" s="10">
        <v>47.3</v>
      </c>
      <c r="F15" s="10">
        <v>46.87</v>
      </c>
      <c r="G15">
        <v>740100</v>
      </c>
      <c r="H15" s="10">
        <f>IF(tbl_BEP[[#This Row],[Date]]=$A$5, $F15, EMA_Beta*$H14 + (1-EMA_Beta)*$F15)</f>
        <v>44.834268795208011</v>
      </c>
      <c r="I15" s="46" t="str">
        <f ca="1">IF(tbl_BEP[[#This Row],[RS]]= "", "", 100-(100/(1+tbl_BEP[[#This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IF(tbl_BEP[[#This Row],[BB_Mean]]="", "", tbl_BEP[[#This Row],[BB_Mean]]+(BB_Width*tbl_BEP[[#This Row],[BB_Stdev]]))</f>
        <v/>
      </c>
      <c r="L15" s="10" t="str">
        <f ca="1">IF(tbl_BEP[[#This Row],[BB_Mean]]="", "", tbl_BEP[[#This Row],[BB_Mean]]-(BB_Width*tbl_BEP[[#This Row],[BB_Stdev]]))</f>
        <v/>
      </c>
      <c r="M15" s="46">
        <f>IF(ROW(tbl_BEP[[#This Row],[Adj Close]])=5, 0, $F15-$F14)</f>
        <v>1.1499999999999986</v>
      </c>
      <c r="N15" s="46">
        <f>MAX(tbl_BEP[[#This Row],[Move]],0)</f>
        <v>1.1499999999999986</v>
      </c>
      <c r="O15" s="46">
        <f>MAX(-tbl_BEP[[#This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IF(tbl_BEP[[#This Row],[Avg_Upmove]]="", "", tbl_BEP[[#This Row],[Avg_Upmove]]/tbl_BEP[[#This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47.59</v>
      </c>
      <c r="C16" s="10">
        <v>47.65</v>
      </c>
      <c r="D16" s="10">
        <v>46.64</v>
      </c>
      <c r="E16" s="10">
        <v>46.78</v>
      </c>
      <c r="F16" s="10">
        <v>46.35</v>
      </c>
      <c r="G16">
        <v>415800</v>
      </c>
      <c r="H16" s="10">
        <f>IF(tbl_BEP[[#This Row],[Date]]=$A$5, $F16, EMA_Beta*$H15 + (1-EMA_Beta)*$F16)</f>
        <v>44.98584191568721</v>
      </c>
      <c r="I16" s="46" t="str">
        <f ca="1">IF(tbl_BEP[[#This Row],[RS]]= "", "", 100-(100/(1+tbl_BEP[[#This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IF(tbl_BEP[[#This Row],[BB_Mean]]="", "", tbl_BEP[[#This Row],[BB_Mean]]+(BB_Width*tbl_BEP[[#This Row],[BB_Stdev]]))</f>
        <v/>
      </c>
      <c r="L16" s="10" t="str">
        <f ca="1">IF(tbl_BEP[[#This Row],[BB_Mean]]="", "", tbl_BEP[[#This Row],[BB_Mean]]-(BB_Width*tbl_BEP[[#This Row],[BB_Stdev]]))</f>
        <v/>
      </c>
      <c r="M16" s="46">
        <f>IF(ROW(tbl_BEP[[#This Row],[Adj Close]])=5, 0, $F16-$F15)</f>
        <v>-0.51999999999999602</v>
      </c>
      <c r="N16" s="46">
        <f>MAX(tbl_BEP[[#This Row],[Move]],0)</f>
        <v>0</v>
      </c>
      <c r="O16" s="46">
        <f>MAX(-tbl_BEP[[#This Row],[Move]],0)</f>
        <v>0.51999999999999602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IF(tbl_BEP[[#This Row],[Avg_Upmove]]="", "", tbl_BEP[[#This Row],[Avg_Upmove]]/tbl_BEP[[#This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46.36</v>
      </c>
      <c r="C17" s="10">
        <v>47.55</v>
      </c>
      <c r="D17" s="10">
        <v>46.21</v>
      </c>
      <c r="E17" s="10">
        <v>47.55</v>
      </c>
      <c r="F17" s="10">
        <v>47.11</v>
      </c>
      <c r="G17">
        <v>283000</v>
      </c>
      <c r="H17" s="10">
        <f>IF(tbl_BEP[[#This Row],[Date]]=$A$5, $F17, EMA_Beta*$H16 + (1-EMA_Beta)*$F17)</f>
        <v>45.198257724118491</v>
      </c>
      <c r="I17" s="46" t="str">
        <f ca="1">IF(tbl_BEP[[#This Row],[RS]]= "", "", 100-(100/(1+tbl_BEP[[#This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IF(tbl_BEP[[#This Row],[BB_Mean]]="", "", tbl_BEP[[#This Row],[BB_Mean]]+(BB_Width*tbl_BEP[[#This Row],[BB_Stdev]]))</f>
        <v/>
      </c>
      <c r="L17" s="10" t="str">
        <f ca="1">IF(tbl_BEP[[#This Row],[BB_Mean]]="", "", tbl_BEP[[#This Row],[BB_Mean]]-(BB_Width*tbl_BEP[[#This Row],[BB_Stdev]]))</f>
        <v/>
      </c>
      <c r="M17" s="46">
        <f>IF(ROW(tbl_BEP[[#This Row],[Adj Close]])=5, 0, $F17-$F16)</f>
        <v>0.75999999999999801</v>
      </c>
      <c r="N17" s="46">
        <f>MAX(tbl_BEP[[#This Row],[Move]],0)</f>
        <v>0.75999999999999801</v>
      </c>
      <c r="O17" s="46">
        <f>MAX(-tbl_BEP[[#This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IF(tbl_BEP[[#This Row],[Avg_Upmove]]="", "", tbl_BEP[[#This Row],[Avg_Upmove]]/tbl_BEP[[#This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47.65</v>
      </c>
      <c r="C18" s="10">
        <v>48.22</v>
      </c>
      <c r="D18" s="10">
        <v>47.36</v>
      </c>
      <c r="E18" s="10">
        <v>47.42</v>
      </c>
      <c r="F18" s="10">
        <v>46.99</v>
      </c>
      <c r="G18">
        <v>300200</v>
      </c>
      <c r="H18" s="10">
        <f>IF(tbl_BEP[[#This Row],[Date]]=$A$5, $F18, EMA_Beta*$H17 + (1-EMA_Beta)*$F18)</f>
        <v>45.37743195170664</v>
      </c>
      <c r="I18" s="46" t="str">
        <f ca="1">IF(tbl_BEP[[#This Row],[RS]]= "", "", 100-(100/(1+tbl_BEP[[#This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44.977857142857147</v>
      </c>
      <c r="K18" s="10">
        <f ca="1">IF(tbl_BEP[[#This Row],[BB_Mean]]="", "", tbl_BEP[[#This Row],[BB_Mean]]+(BB_Width*tbl_BEP[[#This Row],[BB_Stdev]]))</f>
        <v>47.984794542849457</v>
      </c>
      <c r="L18" s="10">
        <f ca="1">IF(tbl_BEP[[#This Row],[BB_Mean]]="", "", tbl_BEP[[#This Row],[BB_Mean]]-(BB_Width*tbl_BEP[[#This Row],[BB_Stdev]]))</f>
        <v>41.970919742864837</v>
      </c>
      <c r="M18" s="46">
        <f>IF(ROW(tbl_BEP[[#This Row],[Adj Close]])=5, 0, $F18-$F17)</f>
        <v>-0.11999999999999744</v>
      </c>
      <c r="N18" s="46">
        <f>MAX(tbl_BEP[[#This Row],[Move]],0)</f>
        <v>0</v>
      </c>
      <c r="O18" s="46">
        <f>MAX(-tbl_BEP[[#This Row],[Move]],0)</f>
        <v>0.11999999999999744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IF(tbl_BEP[[#This Row],[Avg_Upmove]]="", "", tbl_BEP[[#This Row],[Avg_Upmove]]/tbl_BEP[[#This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1.5034686999961557</v>
      </c>
    </row>
    <row r="19" spans="1:19" x14ac:dyDescent="0.35">
      <c r="A19" s="8">
        <v>44071</v>
      </c>
      <c r="B19" s="10">
        <v>47.34</v>
      </c>
      <c r="C19" s="10">
        <v>47.43</v>
      </c>
      <c r="D19" s="10">
        <v>46.2</v>
      </c>
      <c r="E19" s="10">
        <v>46.31</v>
      </c>
      <c r="F19" s="10">
        <v>46.31</v>
      </c>
      <c r="G19">
        <v>454800</v>
      </c>
      <c r="H19" s="10">
        <f>IF(tbl_BEP[[#This Row],[Date]]=$A$5, $F19, EMA_Beta*$H18 + (1-EMA_Beta)*$F19)</f>
        <v>45.470688756535978</v>
      </c>
      <c r="I19" s="46">
        <f ca="1">IF(tbl_BEP[[#This Row],[RS]]= "", "", 100-(100/(1+tbl_BEP[[#This Row],[RS]])))</f>
        <v>56.798245614035118</v>
      </c>
      <c r="J19" s="10">
        <f ca="1">IF(ROW($N19)-4&lt;BB_Periods, "", AVERAGE(INDIRECT(ADDRESS(ROW($F19)-RSI_Periods +1, MATCH("Adj Close", Price_Header,0))): INDIRECT(ADDRESS(ROW($F19),MATCH("Adj Close", Price_Header,0)))))</f>
        <v>45.066428571428574</v>
      </c>
      <c r="K19" s="10">
        <f ca="1">IF(tbl_BEP[[#This Row],[BB_Mean]]="", "", tbl_BEP[[#This Row],[BB_Mean]]+(BB_Width*tbl_BEP[[#This Row],[BB_Stdev]]))</f>
        <v>48.156946149618172</v>
      </c>
      <c r="L19" s="10">
        <f ca="1">IF(tbl_BEP[[#This Row],[BB_Mean]]="", "", tbl_BEP[[#This Row],[BB_Mean]]-(BB_Width*tbl_BEP[[#This Row],[BB_Stdev]]))</f>
        <v>41.975910993238976</v>
      </c>
      <c r="M19" s="46">
        <f>IF(ROW(tbl_BEP[[#This Row],[Adj Close]])=5, 0, $F19-$F18)</f>
        <v>-0.67999999999999972</v>
      </c>
      <c r="N19" s="46">
        <f>MAX(tbl_BEP[[#This Row],[Move]],0)</f>
        <v>0</v>
      </c>
      <c r="O19" s="46">
        <f>MAX(-tbl_BEP[[#This Row],[Move]],0)</f>
        <v>0.67999999999999972</v>
      </c>
      <c r="P19" s="46">
        <f ca="1">IF(ROW($N19)-5&lt;RSI_Periods, "", AVERAGE(INDIRECT(ADDRESS(ROW($N19)-RSI_Periods +1, MATCH("Upmove", Price_Header,0))): INDIRECT(ADDRESS(ROW($N19),MATCH("Upmove", Price_Header,0)))))</f>
        <v>0.3699999999999995</v>
      </c>
      <c r="Q19" s="46">
        <f ca="1">IF(ROW($O19)-5&lt;RSI_Periods, "", AVERAGE(INDIRECT(ADDRESS(ROW($O19)-RSI_Periods +1, MATCH("Downmove", Price_Header,0))): INDIRECT(ADDRESS(ROW($O19),MATCH("Downmove", Price_Header,0)))))</f>
        <v>0.28142857142857075</v>
      </c>
      <c r="R19" s="46">
        <f ca="1">IF(tbl_BEP[[#This Row],[Avg_Upmove]]="", "", tbl_BEP[[#This Row],[Avg_Upmove]]/tbl_BEP[[#This Row],[Avg_Downmove]])</f>
        <v>1.3147208121827425</v>
      </c>
      <c r="S19" s="10">
        <f ca="1">IF(ROW($N19)-4&lt;BB_Periods, "", _xlfn.STDEV.S(INDIRECT(ADDRESS(ROW($F19)-RSI_Periods +1, MATCH("Adj Close", Price_Header,0))): INDIRECT(ADDRESS(ROW($F19),MATCH("Adj Close", Price_Header,0)))))</f>
        <v>1.5452587890947991</v>
      </c>
    </row>
    <row r="20" spans="1:19" x14ac:dyDescent="0.35">
      <c r="A20" s="8">
        <v>44074</v>
      </c>
      <c r="B20" s="10">
        <v>46.49</v>
      </c>
      <c r="C20" s="10">
        <v>46.75</v>
      </c>
      <c r="D20" s="10">
        <v>45.36</v>
      </c>
      <c r="E20" s="10">
        <v>45.44</v>
      </c>
      <c r="F20" s="10">
        <v>45.44</v>
      </c>
      <c r="G20">
        <v>317300</v>
      </c>
      <c r="H20" s="10">
        <f>IF(tbl_BEP[[#This Row],[Date]]=$A$5, $F20, EMA_Beta*$H19 + (1-EMA_Beta)*$F20)</f>
        <v>45.467619880882381</v>
      </c>
      <c r="I20" s="46">
        <f ca="1">IF(tbl_BEP[[#This Row],[RS]]= "", "", 100-(100/(1+tbl_BEP[[#This Row],[RS]])))</f>
        <v>56.860592755214064</v>
      </c>
      <c r="J20" s="10">
        <f ca="1">IF(ROW($N20)-4&lt;BB_Periods, "", AVERAGE(INDIRECT(ADDRESS(ROW($F20)-RSI_Periods +1, MATCH("Adj Close", Price_Header,0))): INDIRECT(ADDRESS(ROW($F20),MATCH("Adj Close", Price_Header,0)))))</f>
        <v>45.155714285714289</v>
      </c>
      <c r="K20" s="10">
        <f ca="1">IF(tbl_BEP[[#This Row],[BB_Mean]]="", "", tbl_BEP[[#This Row],[BB_Mean]]+(BB_Width*tbl_BEP[[#This Row],[BB_Stdev]]))</f>
        <v>48.209163425351569</v>
      </c>
      <c r="L20" s="10">
        <f ca="1">IF(tbl_BEP[[#This Row],[BB_Mean]]="", "", tbl_BEP[[#This Row],[BB_Mean]]-(BB_Width*tbl_BEP[[#This Row],[BB_Stdev]]))</f>
        <v>42.102265146077009</v>
      </c>
      <c r="M20" s="46">
        <f>IF(ROW(tbl_BEP[[#This Row],[Adj Close]])=5, 0, $F20-$F19)</f>
        <v>-0.87000000000000455</v>
      </c>
      <c r="N20" s="46">
        <f>MAX(tbl_BEP[[#This Row],[Move]],0)</f>
        <v>0</v>
      </c>
      <c r="O20" s="46">
        <f>MAX(-tbl_BEP[[#This Row],[Move]],0)</f>
        <v>0.87000000000000455</v>
      </c>
      <c r="P20" s="46">
        <f ca="1">IF(ROW($N20)-5&lt;RSI_Periods, "", AVERAGE(INDIRECT(ADDRESS(ROW($N20)-RSI_Periods +1, MATCH("Upmove", Price_Header,0))): INDIRECT(ADDRESS(ROW($N20),MATCH("Upmove", Price_Header,0)))))</f>
        <v>0.3699999999999995</v>
      </c>
      <c r="Q20" s="46">
        <f ca="1">IF(ROW($O20)-5&lt;RSI_Periods, "", AVERAGE(INDIRECT(ADDRESS(ROW($O20)-RSI_Periods +1, MATCH("Downmove", Price_Header,0))): INDIRECT(ADDRESS(ROW($O20),MATCH("Downmove", Price_Header,0)))))</f>
        <v>0.28071428571428519</v>
      </c>
      <c r="R20" s="46">
        <f ca="1">IF(tbl_BEP[[#This Row],[Avg_Upmove]]="", "", tbl_BEP[[#This Row],[Avg_Upmove]]/tbl_BEP[[#This Row],[Avg_Downmove]])</f>
        <v>1.3180661577608148</v>
      </c>
      <c r="S20" s="10">
        <f ca="1">IF(ROW($N20)-4&lt;BB_Periods, "", _xlfn.STDEV.S(INDIRECT(ADDRESS(ROW($F20)-RSI_Periods +1, MATCH("Adj Close", Price_Header,0))): INDIRECT(ADDRESS(ROW($F20),MATCH("Adj Close", Price_Header,0)))))</f>
        <v>1.52672456981864</v>
      </c>
    </row>
    <row r="21" spans="1:19" x14ac:dyDescent="0.35">
      <c r="A21" s="8">
        <v>44075</v>
      </c>
      <c r="B21" s="10">
        <v>45.35</v>
      </c>
      <c r="C21" s="10">
        <v>45.35</v>
      </c>
      <c r="D21" s="10">
        <v>44.17</v>
      </c>
      <c r="E21" s="10">
        <v>45.06</v>
      </c>
      <c r="F21" s="10">
        <v>45.06</v>
      </c>
      <c r="G21">
        <v>272600</v>
      </c>
      <c r="H21" s="10">
        <f>IF(tbl_BEP[[#This Row],[Date]]=$A$5, $F21, EMA_Beta*$H20 + (1-EMA_Beta)*$F21)</f>
        <v>45.426857892794146</v>
      </c>
      <c r="I21" s="46">
        <f ca="1">IF(tbl_BEP[[#This Row],[RS]]= "", "", 100-(100/(1+tbl_BEP[[#This Row],[RS]])))</f>
        <v>54.002134471718264</v>
      </c>
      <c r="J21" s="10">
        <f ca="1">IF(ROW($N21)-4&lt;BB_Periods, "", AVERAGE(INDIRECT(ADDRESS(ROW($F21)-RSI_Periods +1, MATCH("Adj Close", Price_Header,0))): INDIRECT(ADDRESS(ROW($F21),MATCH("Adj Close", Price_Header,0)))))</f>
        <v>45.20928571428572</v>
      </c>
      <c r="K21" s="10">
        <f ca="1">IF(tbl_BEP[[#This Row],[BB_Mean]]="", "", tbl_BEP[[#This Row],[BB_Mean]]+(BB_Width*tbl_BEP[[#This Row],[BB_Stdev]]))</f>
        <v>48.224901118102373</v>
      </c>
      <c r="L21" s="10">
        <f ca="1">IF(tbl_BEP[[#This Row],[BB_Mean]]="", "", tbl_BEP[[#This Row],[BB_Mean]]-(BB_Width*tbl_BEP[[#This Row],[BB_Stdev]]))</f>
        <v>42.193670310469066</v>
      </c>
      <c r="M21" s="46">
        <f>IF(ROW(tbl_BEP[[#This Row],[Adj Close]])=5, 0, $F21-$F20)</f>
        <v>-0.37999999999999545</v>
      </c>
      <c r="N21" s="46">
        <f>MAX(tbl_BEP[[#This Row],[Move]],0)</f>
        <v>0</v>
      </c>
      <c r="O21" s="46">
        <f>MAX(-tbl_BEP[[#This Row],[Move]],0)</f>
        <v>0.37999999999999545</v>
      </c>
      <c r="P21" s="46">
        <f ca="1">IF(ROW($N21)-5&lt;RSI_Periods, "", AVERAGE(INDIRECT(ADDRESS(ROW($N21)-RSI_Periods +1, MATCH("Upmove", Price_Header,0))): INDIRECT(ADDRESS(ROW($N21),MATCH("Upmove", Price_Header,0)))))</f>
        <v>0.3614285714285706</v>
      </c>
      <c r="Q21" s="46">
        <f ca="1">IF(ROW($O21)-5&lt;RSI_Periods, "", AVERAGE(INDIRECT(ADDRESS(ROW($O21)-RSI_Periods +1, MATCH("Downmove", Price_Header,0))): INDIRECT(ADDRESS(ROW($O21),MATCH("Downmove", Price_Header,0)))))</f>
        <v>0.307857142857142</v>
      </c>
      <c r="R21" s="46">
        <f ca="1">IF(tbl_BEP[[#This Row],[Avg_Upmove]]="", "", tbl_BEP[[#This Row],[Avg_Upmove]]/tbl_BEP[[#This Row],[Avg_Downmove]])</f>
        <v>1.1740139211136897</v>
      </c>
      <c r="S21" s="10">
        <f ca="1">IF(ROW($N21)-4&lt;BB_Periods, "", _xlfn.STDEV.S(INDIRECT(ADDRESS(ROW($F21)-RSI_Periods +1, MATCH("Adj Close", Price_Header,0))): INDIRECT(ADDRESS(ROW($F21),MATCH("Adj Close", Price_Header,0)))))</f>
        <v>1.5078077019083254</v>
      </c>
    </row>
    <row r="22" spans="1:19" x14ac:dyDescent="0.35">
      <c r="A22" s="8">
        <v>44076</v>
      </c>
      <c r="B22" s="10">
        <v>45.16</v>
      </c>
      <c r="C22" s="10">
        <v>46.18</v>
      </c>
      <c r="D22" s="10">
        <v>44.87</v>
      </c>
      <c r="E22" s="10">
        <v>46.05</v>
      </c>
      <c r="F22" s="10">
        <v>46.05</v>
      </c>
      <c r="G22">
        <v>315700</v>
      </c>
      <c r="H22" s="10">
        <f>IF(tbl_BEP[[#This Row],[Date]]=$A$5, $F22, EMA_Beta*$H21 + (1-EMA_Beta)*$F22)</f>
        <v>45.489172103514733</v>
      </c>
      <c r="I22" s="46">
        <f ca="1">IF(tbl_BEP[[#This Row],[RS]]= "", "", 100-(100/(1+tbl_BEP[[#This Row],[RS]])))</f>
        <v>64.361702127659598</v>
      </c>
      <c r="J22" s="10">
        <f ca="1">IF(ROW($N22)-4&lt;BB_Periods, "", AVERAGE(INDIRECT(ADDRESS(ROW($F22)-RSI_Periods +1, MATCH("Adj Close", Price_Header,0))): INDIRECT(ADDRESS(ROW($F22),MATCH("Adj Close", Price_Header,0)))))</f>
        <v>45.402142857142849</v>
      </c>
      <c r="K22" s="10">
        <f ca="1">IF(tbl_BEP[[#This Row],[BB_Mean]]="", "", tbl_BEP[[#This Row],[BB_Mean]]+(BB_Width*tbl_BEP[[#This Row],[BB_Stdev]]))</f>
        <v>48.245999161761397</v>
      </c>
      <c r="L22" s="10">
        <f ca="1">IF(tbl_BEP[[#This Row],[BB_Mean]]="", "", tbl_BEP[[#This Row],[BB_Mean]]-(BB_Width*tbl_BEP[[#This Row],[BB_Stdev]]))</f>
        <v>42.558286552524301</v>
      </c>
      <c r="M22" s="46">
        <f>IF(ROW(tbl_BEP[[#This Row],[Adj Close]])=5, 0, $F22-$F21)</f>
        <v>0.98999999999999488</v>
      </c>
      <c r="N22" s="46">
        <f>MAX(tbl_BEP[[#This Row],[Move]],0)</f>
        <v>0.98999999999999488</v>
      </c>
      <c r="O22" s="46">
        <f>MAX(-tbl_BEP[[#This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0.43214285714285594</v>
      </c>
      <c r="Q22" s="46">
        <f ca="1">IF(ROW($O22)-5&lt;RSI_Periods, "", AVERAGE(INDIRECT(ADDRESS(ROW($O22)-RSI_Periods +1, MATCH("Downmove", Price_Header,0))): INDIRECT(ADDRESS(ROW($O22),MATCH("Downmove", Price_Header,0)))))</f>
        <v>0.23928571428571338</v>
      </c>
      <c r="R22" s="46">
        <f ca="1">IF(tbl_BEP[[#This Row],[Avg_Upmove]]="", "", tbl_BEP[[#This Row],[Avg_Upmove]]/tbl_BEP[[#This Row],[Avg_Downmove]])</f>
        <v>1.8059701492537332</v>
      </c>
      <c r="S22" s="10">
        <f ca="1">IF(ROW($N22)-4&lt;BB_Periods, "", _xlfn.STDEV.S(INDIRECT(ADDRESS(ROW($F22)-RSI_Periods +1, MATCH("Adj Close", Price_Header,0))): INDIRECT(ADDRESS(ROW($F22),MATCH("Adj Close", Price_Header,0)))))</f>
        <v>1.4219281523092753</v>
      </c>
    </row>
    <row r="23" spans="1:19" x14ac:dyDescent="0.35">
      <c r="A23" s="8">
        <v>44077</v>
      </c>
      <c r="B23" s="10">
        <v>45.87</v>
      </c>
      <c r="C23" s="10">
        <v>46.09</v>
      </c>
      <c r="D23" s="10">
        <v>44.59</v>
      </c>
      <c r="E23" s="10">
        <v>45.29</v>
      </c>
      <c r="F23" s="10">
        <v>45.29</v>
      </c>
      <c r="G23">
        <v>246300</v>
      </c>
      <c r="H23" s="10">
        <f>IF(tbl_BEP[[#This Row],[Date]]=$A$5, $F23, EMA_Beta*$H22 + (1-EMA_Beta)*$F23)</f>
        <v>45.46925489316326</v>
      </c>
      <c r="I23" s="46">
        <f ca="1">IF(tbl_BEP[[#This Row],[RS]]= "", "", 100-(100/(1+tbl_BEP[[#This Row],[RS]])))</f>
        <v>61.671763506625929</v>
      </c>
      <c r="J23" s="10">
        <f ca="1">IF(ROW($N23)-4&lt;BB_Periods, "", AVERAGE(INDIRECT(ADDRESS(ROW($F23)-RSI_Periods +1, MATCH("Adj Close", Price_Header,0))): INDIRECT(ADDRESS(ROW($F23),MATCH("Adj Close", Price_Header,0)))))</f>
        <v>45.565714285714286</v>
      </c>
      <c r="K23" s="10">
        <f ca="1">IF(tbl_BEP[[#This Row],[BB_Mean]]="", "", tbl_BEP[[#This Row],[BB_Mean]]+(BB_Width*tbl_BEP[[#This Row],[BB_Stdev]]))</f>
        <v>48.055826600582705</v>
      </c>
      <c r="L23" s="10">
        <f ca="1">IF(tbl_BEP[[#This Row],[BB_Mean]]="", "", tbl_BEP[[#This Row],[BB_Mean]]-(BB_Width*tbl_BEP[[#This Row],[BB_Stdev]]))</f>
        <v>43.075601970845867</v>
      </c>
      <c r="M23" s="46">
        <f>IF(ROW(tbl_BEP[[#This Row],[Adj Close]])=5, 0, $F23-$F22)</f>
        <v>-0.75999999999999801</v>
      </c>
      <c r="N23" s="46">
        <f>MAX(tbl_BEP[[#This Row],[Move]],0)</f>
        <v>0</v>
      </c>
      <c r="O23" s="46">
        <f>MAX(-tbl_BEP[[#This Row],[Move]],0)</f>
        <v>0.75999999999999801</v>
      </c>
      <c r="P23" s="46">
        <f ca="1">IF(ROW($N23)-5&lt;RSI_Periods, "", AVERAGE(INDIRECT(ADDRESS(ROW($N23)-RSI_Periods +1, MATCH("Upmove", Price_Header,0))): INDIRECT(ADDRESS(ROW($N23),MATCH("Upmove", Price_Header,0)))))</f>
        <v>0.43214285714285594</v>
      </c>
      <c r="Q23" s="46">
        <f ca="1">IF(ROW($O23)-5&lt;RSI_Periods, "", AVERAGE(INDIRECT(ADDRESS(ROW($O23)-RSI_Periods +1, MATCH("Downmove", Price_Header,0))): INDIRECT(ADDRESS(ROW($O23),MATCH("Downmove", Price_Header,0)))))</f>
        <v>0.26857142857142741</v>
      </c>
      <c r="R23" s="46">
        <f ca="1">IF(tbl_BEP[[#This Row],[Avg_Upmove]]="", "", tbl_BEP[[#This Row],[Avg_Upmove]]/tbl_BEP[[#This Row],[Avg_Downmove]])</f>
        <v>1.6090425531914918</v>
      </c>
      <c r="S23" s="10">
        <f ca="1">IF(ROW($N23)-4&lt;BB_Periods, "", _xlfn.STDEV.S(INDIRECT(ADDRESS(ROW($F23)-RSI_Periods +1, MATCH("Adj Close", Price_Header,0))): INDIRECT(ADDRESS(ROW($F23),MATCH("Adj Close", Price_Header,0)))))</f>
        <v>1.2450561574342078</v>
      </c>
    </row>
    <row r="24" spans="1:19" x14ac:dyDescent="0.35">
      <c r="A24" s="8">
        <v>44078</v>
      </c>
      <c r="B24" s="10">
        <v>45.14</v>
      </c>
      <c r="C24" s="10">
        <v>45.67</v>
      </c>
      <c r="D24" s="10">
        <v>44.43</v>
      </c>
      <c r="E24" s="10">
        <v>45.04</v>
      </c>
      <c r="F24" s="10">
        <v>45.04</v>
      </c>
      <c r="G24">
        <v>415200</v>
      </c>
      <c r="H24" s="10">
        <f>IF(tbl_BEP[[#This Row],[Date]]=$A$5, $F24, EMA_Beta*$H23 + (1-EMA_Beta)*$F24)</f>
        <v>45.426329403846935</v>
      </c>
      <c r="I24" s="46">
        <f ca="1">IF(tbl_BEP[[#This Row],[RS]]= "", "", 100-(100/(1+tbl_BEP[[#This Row],[RS]])))</f>
        <v>58.445595854922324</v>
      </c>
      <c r="J24" s="10">
        <f ca="1">IF(ROW($N24)-4&lt;BB_Periods, "", AVERAGE(INDIRECT(ADDRESS(ROW($F24)-RSI_Periods +1, MATCH("Adj Close", Price_Header,0))): INDIRECT(ADDRESS(ROW($F24),MATCH("Adj Close", Price_Header,0)))))</f>
        <v>45.682142857142857</v>
      </c>
      <c r="K24" s="10">
        <f ca="1">IF(tbl_BEP[[#This Row],[BB_Mean]]="", "", tbl_BEP[[#This Row],[BB_Mean]]+(BB_Width*tbl_BEP[[#This Row],[BB_Stdev]]))</f>
        <v>47.872445661237848</v>
      </c>
      <c r="L24" s="10">
        <f ca="1">IF(tbl_BEP[[#This Row],[BB_Mean]]="", "", tbl_BEP[[#This Row],[BB_Mean]]-(BB_Width*tbl_BEP[[#This Row],[BB_Stdev]]))</f>
        <v>43.491840053047866</v>
      </c>
      <c r="M24" s="46">
        <f>IF(ROW(tbl_BEP[[#This Row],[Adj Close]])=5, 0, $F24-$F23)</f>
        <v>-0.25</v>
      </c>
      <c r="N24" s="46">
        <f>MAX(tbl_BEP[[#This Row],[Move]],0)</f>
        <v>0</v>
      </c>
      <c r="O24" s="46">
        <f>MAX(-tbl_BEP[[#This Row],[Move]],0)</f>
        <v>0.25</v>
      </c>
      <c r="P24" s="46">
        <f ca="1">IF(ROW($N24)-5&lt;RSI_Periods, "", AVERAGE(INDIRECT(ADDRESS(ROW($N24)-RSI_Periods +1, MATCH("Upmove", Price_Header,0))): INDIRECT(ADDRESS(ROW($N24),MATCH("Upmove", Price_Header,0)))))</f>
        <v>0.40285714285714186</v>
      </c>
      <c r="Q24" s="46">
        <f ca="1">IF(ROW($O24)-5&lt;RSI_Periods, "", AVERAGE(INDIRECT(ADDRESS(ROW($O24)-RSI_Periods +1, MATCH("Downmove", Price_Header,0))): INDIRECT(ADDRESS(ROW($O24),MATCH("Downmove", Price_Header,0)))))</f>
        <v>0.28642857142857026</v>
      </c>
      <c r="R24" s="46">
        <f ca="1">IF(tbl_BEP[[#This Row],[Avg_Upmove]]="", "", tbl_BEP[[#This Row],[Avg_Upmove]]/tbl_BEP[[#This Row],[Avg_Downmove]])</f>
        <v>1.4064837905236931</v>
      </c>
      <c r="S24" s="10">
        <f ca="1">IF(ROW($N24)-4&lt;BB_Periods, "", _xlfn.STDEV.S(INDIRECT(ADDRESS(ROW($F24)-RSI_Periods +1, MATCH("Adj Close", Price_Header,0))): INDIRECT(ADDRESS(ROW($F24),MATCH("Adj Close", Price_Header,0)))))</f>
        <v>1.0951514020474942</v>
      </c>
    </row>
    <row r="25" spans="1:19" x14ac:dyDescent="0.35">
      <c r="A25" s="8">
        <v>44082</v>
      </c>
      <c r="B25" s="10">
        <v>44.5</v>
      </c>
      <c r="C25" s="10">
        <v>44.97</v>
      </c>
      <c r="D25" s="10">
        <v>44.25</v>
      </c>
      <c r="E25" s="10">
        <v>44.47</v>
      </c>
      <c r="F25" s="10">
        <v>44.47</v>
      </c>
      <c r="G25">
        <v>234500</v>
      </c>
      <c r="H25" s="10">
        <f>IF(tbl_BEP[[#This Row],[Date]]=$A$5, $F25, EMA_Beta*$H24 + (1-EMA_Beta)*$F25)</f>
        <v>45.330696463462246</v>
      </c>
      <c r="I25" s="46">
        <f ca="1">IF(tbl_BEP[[#This Row],[RS]]= "", "", 100-(100/(1+tbl_BEP[[#This Row],[RS]])))</f>
        <v>56.513026052104216</v>
      </c>
      <c r="J25" s="10">
        <f ca="1">IF(ROW($N25)-4&lt;BB_Periods, "", AVERAGE(INDIRECT(ADDRESS(ROW($F25)-RSI_Periods +1, MATCH("Adj Close", Price_Header,0))): INDIRECT(ADDRESS(ROW($F25),MATCH("Adj Close", Price_Header,0)))))</f>
        <v>45.774999999999999</v>
      </c>
      <c r="K25" s="10">
        <f ca="1">IF(tbl_BEP[[#This Row],[BB_Mean]]="", "", tbl_BEP[[#This Row],[BB_Mean]]+(BB_Width*tbl_BEP[[#This Row],[BB_Stdev]]))</f>
        <v>47.58347151782084</v>
      </c>
      <c r="L25" s="10">
        <f ca="1">IF(tbl_BEP[[#This Row],[BB_Mean]]="", "", tbl_BEP[[#This Row],[BB_Mean]]-(BB_Width*tbl_BEP[[#This Row],[BB_Stdev]]))</f>
        <v>43.966528482179157</v>
      </c>
      <c r="M25" s="46">
        <f>IF(ROW(tbl_BEP[[#This Row],[Adj Close]])=5, 0, $F25-$F24)</f>
        <v>-0.57000000000000028</v>
      </c>
      <c r="N25" s="46">
        <f>MAX(tbl_BEP[[#This Row],[Move]],0)</f>
        <v>0</v>
      </c>
      <c r="O25" s="46">
        <f>MAX(-tbl_BEP[[#This Row],[Move]],0)</f>
        <v>0.57000000000000028</v>
      </c>
      <c r="P25" s="46">
        <f ca="1">IF(ROW($N25)-5&lt;RSI_Periods, "", AVERAGE(INDIRECT(ADDRESS(ROW($N25)-RSI_Periods +1, MATCH("Upmove", Price_Header,0))): INDIRECT(ADDRESS(ROW($N25),MATCH("Upmove", Price_Header,0)))))</f>
        <v>0.40285714285714186</v>
      </c>
      <c r="Q25" s="46">
        <f ca="1">IF(ROW($O25)-5&lt;RSI_Periods, "", AVERAGE(INDIRECT(ADDRESS(ROW($O25)-RSI_Periods +1, MATCH("Downmove", Price_Header,0))): INDIRECT(ADDRESS(ROW($O25),MATCH("Downmove", Price_Header,0)))))</f>
        <v>0.30999999999999922</v>
      </c>
      <c r="R25" s="46">
        <f ca="1">IF(tbl_BEP[[#This Row],[Avg_Upmove]]="", "", tbl_BEP[[#This Row],[Avg_Upmove]]/tbl_BEP[[#This Row],[Avg_Downmove]])</f>
        <v>1.2995391705069126</v>
      </c>
      <c r="S25" s="10">
        <f ca="1">IF(ROW($N25)-4&lt;BB_Periods, "", _xlfn.STDEV.S(INDIRECT(ADDRESS(ROW($F25)-RSI_Periods +1, MATCH("Adj Close", Price_Header,0))): INDIRECT(ADDRESS(ROW($F25),MATCH("Adj Close", Price_Header,0)))))</f>
        <v>0.90423575891042229</v>
      </c>
    </row>
    <row r="26" spans="1:19" x14ac:dyDescent="0.35">
      <c r="A26" s="8">
        <v>44083</v>
      </c>
      <c r="B26" s="10">
        <v>44.98</v>
      </c>
      <c r="C26" s="10">
        <v>45.25</v>
      </c>
      <c r="D26" s="10">
        <v>44.74</v>
      </c>
      <c r="E26" s="10">
        <v>45.01</v>
      </c>
      <c r="F26" s="10">
        <v>45.01</v>
      </c>
      <c r="G26">
        <v>143200</v>
      </c>
      <c r="H26" s="10">
        <f>IF(tbl_BEP[[#This Row],[Date]]=$A$5, $F26, EMA_Beta*$H25 + (1-EMA_Beta)*$F26)</f>
        <v>45.298626817116023</v>
      </c>
      <c r="I26" s="46">
        <f ca="1">IF(tbl_BEP[[#This Row],[RS]]= "", "", 100-(100/(1+tbl_BEP[[#This Row],[RS]])))</f>
        <v>54.074074074074062</v>
      </c>
      <c r="J26" s="10">
        <f ca="1">IF(ROW($N26)-4&lt;BB_Periods, "", AVERAGE(INDIRECT(ADDRESS(ROW($F26)-RSI_Periods +1, MATCH("Adj Close", Price_Header,0))): INDIRECT(ADDRESS(ROW($F26),MATCH("Adj Close", Price_Header,0)))))</f>
        <v>45.83</v>
      </c>
      <c r="K26" s="10">
        <f ca="1">IF(tbl_BEP[[#This Row],[BB_Mean]]="", "", tbl_BEP[[#This Row],[BB_Mean]]+(BB_Width*tbl_BEP[[#This Row],[BB_Stdev]]))</f>
        <v>47.477001938254894</v>
      </c>
      <c r="L26" s="10">
        <f ca="1">IF(tbl_BEP[[#This Row],[BB_Mean]]="", "", tbl_BEP[[#This Row],[BB_Mean]]-(BB_Width*tbl_BEP[[#This Row],[BB_Stdev]]))</f>
        <v>44.182998061745103</v>
      </c>
      <c r="M26" s="46">
        <f>IF(ROW(tbl_BEP[[#This Row],[Adj Close]])=5, 0, $F26-$F25)</f>
        <v>0.53999999999999915</v>
      </c>
      <c r="N26" s="46">
        <f>MAX(tbl_BEP[[#This Row],[Move]],0)</f>
        <v>0.53999999999999915</v>
      </c>
      <c r="O26" s="46">
        <f>MAX(-tbl_BEP[[#This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0.36499999999999894</v>
      </c>
      <c r="Q26" s="46">
        <f ca="1">IF(ROW($O26)-5&lt;RSI_Periods, "", AVERAGE(INDIRECT(ADDRESS(ROW($O26)-RSI_Periods +1, MATCH("Downmove", Price_Header,0))): INDIRECT(ADDRESS(ROW($O26),MATCH("Downmove", Price_Header,0)))))</f>
        <v>0.30999999999999922</v>
      </c>
      <c r="R26" s="46">
        <f ca="1">IF(tbl_BEP[[#This Row],[Avg_Upmove]]="", "", tbl_BEP[[#This Row],[Avg_Upmove]]/tbl_BEP[[#This Row],[Avg_Downmove]])</f>
        <v>1.1774193548387093</v>
      </c>
      <c r="S26" s="10">
        <f ca="1">IF(ROW($N26)-4&lt;BB_Periods, "", _xlfn.STDEV.S(INDIRECT(ADDRESS(ROW($F26)-RSI_Periods +1, MATCH("Adj Close", Price_Header,0))): INDIRECT(ADDRESS(ROW($F26),MATCH("Adj Close", Price_Header,0)))))</f>
        <v>0.82350096912744841</v>
      </c>
    </row>
    <row r="27" spans="1:19" x14ac:dyDescent="0.35">
      <c r="A27" s="8">
        <v>44084</v>
      </c>
      <c r="B27" s="10">
        <v>45.37</v>
      </c>
      <c r="C27" s="10">
        <v>45.37</v>
      </c>
      <c r="D27" s="10">
        <v>44.09</v>
      </c>
      <c r="E27" s="10">
        <v>44.14</v>
      </c>
      <c r="F27" s="10">
        <v>44.14</v>
      </c>
      <c r="G27">
        <v>199500</v>
      </c>
      <c r="H27" s="10">
        <f>IF(tbl_BEP[[#This Row],[Date]]=$A$5, $F27, EMA_Beta*$H26 + (1-EMA_Beta)*$F27)</f>
        <v>45.182764135404426</v>
      </c>
      <c r="I27" s="46">
        <f ca="1">IF(tbl_BEP[[#This Row],[RS]]= "", "", 100-(100/(1+tbl_BEP[[#This Row],[RS]])))</f>
        <v>39.768786127167637</v>
      </c>
      <c r="J27" s="10">
        <f ca="1">IF(ROW($N27)-4&lt;BB_Periods, "", AVERAGE(INDIRECT(ADDRESS(ROW($F27)-RSI_Periods +1, MATCH("Adj Close", Price_Header,0))): INDIRECT(ADDRESS(ROW($F27),MATCH("Adj Close", Price_Header,0)))))</f>
        <v>45.703571428571429</v>
      </c>
      <c r="K27" s="10">
        <f ca="1">IF(tbl_BEP[[#This Row],[BB_Mean]]="", "", tbl_BEP[[#This Row],[BB_Mean]]+(BB_Width*tbl_BEP[[#This Row],[BB_Stdev]]))</f>
        <v>47.579895283557882</v>
      </c>
      <c r="L27" s="10">
        <f ca="1">IF(tbl_BEP[[#This Row],[BB_Mean]]="", "", tbl_BEP[[#This Row],[BB_Mean]]-(BB_Width*tbl_BEP[[#This Row],[BB_Stdev]]))</f>
        <v>43.827247573584977</v>
      </c>
      <c r="M27" s="46">
        <f>IF(ROW(tbl_BEP[[#This Row],[Adj Close]])=5, 0, $F27-$F26)</f>
        <v>-0.86999999999999744</v>
      </c>
      <c r="N27" s="46">
        <f>MAX(tbl_BEP[[#This Row],[Move]],0)</f>
        <v>0</v>
      </c>
      <c r="O27" s="46">
        <f>MAX(-tbl_BEP[[#This Row],[Move]],0)</f>
        <v>0.86999999999999744</v>
      </c>
      <c r="P27" s="46">
        <f ca="1">IF(ROW($N27)-5&lt;RSI_Periods, "", AVERAGE(INDIRECT(ADDRESS(ROW($N27)-RSI_Periods +1, MATCH("Upmove", Price_Header,0))): INDIRECT(ADDRESS(ROW($N27),MATCH("Upmove", Price_Header,0)))))</f>
        <v>0.24571428571428505</v>
      </c>
      <c r="Q27" s="46">
        <f ca="1">IF(ROW($O27)-5&lt;RSI_Periods, "", AVERAGE(INDIRECT(ADDRESS(ROW($O27)-RSI_Periods +1, MATCH("Downmove", Price_Header,0))): INDIRECT(ADDRESS(ROW($O27),MATCH("Downmove", Price_Header,0)))))</f>
        <v>0.37214285714285616</v>
      </c>
      <c r="R27" s="46">
        <f ca="1">IF(tbl_BEP[[#This Row],[Avg_Upmove]]="", "", tbl_BEP[[#This Row],[Avg_Upmove]]/tbl_BEP[[#This Row],[Avg_Downmove]])</f>
        <v>0.66026871401151632</v>
      </c>
      <c r="S27" s="10">
        <f ca="1">IF(ROW($N27)-4&lt;BB_Periods, "", _xlfn.STDEV.S(INDIRECT(ADDRESS(ROW($F27)-RSI_Periods +1, MATCH("Adj Close", Price_Header,0))): INDIRECT(ADDRESS(ROW($F27),MATCH("Adj Close", Price_Header,0)))))</f>
        <v>0.93816192749322469</v>
      </c>
    </row>
    <row r="28" spans="1:19" x14ac:dyDescent="0.35">
      <c r="A28" s="8">
        <v>44085</v>
      </c>
      <c r="B28" s="10">
        <v>44.11</v>
      </c>
      <c r="C28" s="10">
        <v>44.63</v>
      </c>
      <c r="D28" s="10">
        <v>43.89</v>
      </c>
      <c r="E28" s="10">
        <v>44.14</v>
      </c>
      <c r="F28" s="10">
        <v>44.14</v>
      </c>
      <c r="G28">
        <v>152500</v>
      </c>
      <c r="H28" s="10">
        <f>IF(tbl_BEP[[#This Row],[Date]]=$A$5, $F28, EMA_Beta*$H27 + (1-EMA_Beta)*$F28)</f>
        <v>45.078487721863986</v>
      </c>
      <c r="I28" s="46">
        <f ca="1">IF(tbl_BEP[[#This Row],[RS]]= "", "", 100-(100/(1+tbl_BEP[[#This Row],[RS]])))</f>
        <v>40.661938534278953</v>
      </c>
      <c r="J28" s="10">
        <f ca="1">IF(ROW($N28)-4&lt;BB_Periods, "", AVERAGE(INDIRECT(ADDRESS(ROW($F28)-RSI_Periods +1, MATCH("Adj Close", Price_Header,0))): INDIRECT(ADDRESS(ROW($F28),MATCH("Adj Close", Price_Header,0)))))</f>
        <v>45.590714285714284</v>
      </c>
      <c r="K28" s="10">
        <f ca="1">IF(tbl_BEP[[#This Row],[BB_Mean]]="", "", tbl_BEP[[#This Row],[BB_Mean]]+(BB_Width*tbl_BEP[[#This Row],[BB_Stdev]]))</f>
        <v>47.644460795212161</v>
      </c>
      <c r="L28" s="10">
        <f ca="1">IF(tbl_BEP[[#This Row],[BB_Mean]]="", "", tbl_BEP[[#This Row],[BB_Mean]]-(BB_Width*tbl_BEP[[#This Row],[BB_Stdev]]))</f>
        <v>43.536967776216407</v>
      </c>
      <c r="M28" s="46">
        <f>IF(ROW(tbl_BEP[[#This Row],[Adj Close]])=5, 0, $F28-$F27)</f>
        <v>0</v>
      </c>
      <c r="N28" s="46">
        <f>MAX(tbl_BEP[[#This Row],[Move]],0)</f>
        <v>0</v>
      </c>
      <c r="O28" s="46">
        <f>MAX(-tbl_BEP[[#This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0.24571428571428505</v>
      </c>
      <c r="Q28" s="46">
        <f ca="1">IF(ROW($O28)-5&lt;RSI_Periods, "", AVERAGE(INDIRECT(ADDRESS(ROW($O28)-RSI_Periods +1, MATCH("Downmove", Price_Header,0))): INDIRECT(ADDRESS(ROW($O28),MATCH("Downmove", Price_Header,0)))))</f>
        <v>0.35857142857142776</v>
      </c>
      <c r="R28" s="46">
        <f ca="1">IF(tbl_BEP[[#This Row],[Avg_Upmove]]="", "", tbl_BEP[[#This Row],[Avg_Upmove]]/tbl_BEP[[#This Row],[Avg_Downmove]])</f>
        <v>0.68525896414342602</v>
      </c>
      <c r="S28" s="10">
        <f ca="1">IF(ROW($N28)-4&lt;BB_Periods, "", _xlfn.STDEV.S(INDIRECT(ADDRESS(ROW($F28)-RSI_Periods +1, MATCH("Adj Close", Price_Header,0))): INDIRECT(ADDRESS(ROW($F28),MATCH("Adj Close", Price_Header,0)))))</f>
        <v>1.0268732547489401</v>
      </c>
    </row>
    <row r="29" spans="1:19" x14ac:dyDescent="0.35">
      <c r="A29" s="8">
        <v>44088</v>
      </c>
      <c r="B29" s="10">
        <v>44.68</v>
      </c>
      <c r="C29" s="10">
        <v>44.72</v>
      </c>
      <c r="D29" s="10">
        <v>43.67</v>
      </c>
      <c r="E29" s="10">
        <v>44.12</v>
      </c>
      <c r="F29" s="10">
        <v>44.12</v>
      </c>
      <c r="G29">
        <v>238900</v>
      </c>
      <c r="H29" s="10">
        <f>IF(tbl_BEP[[#This Row],[Date]]=$A$5, $F29, EMA_Beta*$H28 + (1-EMA_Beta)*$F29)</f>
        <v>44.982638949677586</v>
      </c>
      <c r="I29" s="46">
        <f ca="1">IF(tbl_BEP[[#This Row],[RS]]= "", "", 100-(100/(1+tbl_BEP[[#This Row],[RS]])))</f>
        <v>31.2414733969986</v>
      </c>
      <c r="J29" s="10">
        <f ca="1">IF(ROW($N29)-4&lt;BB_Periods, "", AVERAGE(INDIRECT(ADDRESS(ROW($F29)-RSI_Periods +1, MATCH("Adj Close", Price_Header,0))): INDIRECT(ADDRESS(ROW($F29),MATCH("Adj Close", Price_Header,0)))))</f>
        <v>45.394285714285715</v>
      </c>
      <c r="K29" s="10">
        <f ca="1">IF(tbl_BEP[[#This Row],[BB_Mean]]="", "", tbl_BEP[[#This Row],[BB_Mean]]+(BB_Width*tbl_BEP[[#This Row],[BB_Stdev]]))</f>
        <v>47.447001952844751</v>
      </c>
      <c r="L29" s="10">
        <f ca="1">IF(tbl_BEP[[#This Row],[BB_Mean]]="", "", tbl_BEP[[#This Row],[BB_Mean]]-(BB_Width*tbl_BEP[[#This Row],[BB_Stdev]]))</f>
        <v>43.341569475726679</v>
      </c>
      <c r="M29" s="46">
        <f>IF(ROW(tbl_BEP[[#This Row],[Adj Close]])=5, 0, $F29-$F28)</f>
        <v>-2.0000000000003126E-2</v>
      </c>
      <c r="N29" s="46">
        <f>MAX(tbl_BEP[[#This Row],[Move]],0)</f>
        <v>0</v>
      </c>
      <c r="O29" s="46">
        <f>MAX(-tbl_BEP[[#This Row],[Move]],0)</f>
        <v>2.0000000000003126E-2</v>
      </c>
      <c r="P29" s="46">
        <f ca="1">IF(ROW($N29)-5&lt;RSI_Periods, "", AVERAGE(INDIRECT(ADDRESS(ROW($N29)-RSI_Periods +1, MATCH("Upmove", Price_Header,0))): INDIRECT(ADDRESS(ROW($N29),MATCH("Upmove", Price_Header,0)))))</f>
        <v>0.16357142857142801</v>
      </c>
      <c r="Q29" s="46">
        <f ca="1">IF(ROW($O29)-5&lt;RSI_Periods, "", AVERAGE(INDIRECT(ADDRESS(ROW($O29)-RSI_Periods +1, MATCH("Downmove", Price_Header,0))): INDIRECT(ADDRESS(ROW($O29),MATCH("Downmove", Price_Header,0)))))</f>
        <v>0.35999999999999943</v>
      </c>
      <c r="R29" s="46">
        <f ca="1">IF(tbl_BEP[[#This Row],[Avg_Upmove]]="", "", tbl_BEP[[#This Row],[Avg_Upmove]]/tbl_BEP[[#This Row],[Avg_Downmove]])</f>
        <v>0.45436507936507853</v>
      </c>
      <c r="S29" s="10">
        <f ca="1">IF(ROW($N29)-4&lt;BB_Periods, "", _xlfn.STDEV.S(INDIRECT(ADDRESS(ROW($F29)-RSI_Periods +1, MATCH("Adj Close", Price_Header,0))): INDIRECT(ADDRESS(ROW($F29),MATCH("Adj Close", Price_Header,0)))))</f>
        <v>1.0263581192795184</v>
      </c>
    </row>
    <row r="30" spans="1:19" x14ac:dyDescent="0.35">
      <c r="A30" s="8">
        <v>44089</v>
      </c>
      <c r="B30" s="10">
        <v>44.63</v>
      </c>
      <c r="C30" s="10">
        <v>45.89</v>
      </c>
      <c r="D30" s="10">
        <v>44.6</v>
      </c>
      <c r="E30" s="10">
        <v>45.33</v>
      </c>
      <c r="F30" s="10">
        <v>45.33</v>
      </c>
      <c r="G30">
        <v>229900</v>
      </c>
      <c r="H30" s="10">
        <f>IF(tbl_BEP[[#This Row],[Date]]=$A$5, $F30, EMA_Beta*$H29 + (1-EMA_Beta)*$F30)</f>
        <v>45.017375054709831</v>
      </c>
      <c r="I30" s="46">
        <f ca="1">IF(tbl_BEP[[#This Row],[RS]]= "", "", 100-(100/(1+tbl_BEP[[#This Row],[RS]])))</f>
        <v>43.640897755610951</v>
      </c>
      <c r="J30" s="10">
        <f ca="1">IF(ROW($N30)-4&lt;BB_Periods, "", AVERAGE(INDIRECT(ADDRESS(ROW($F30)-RSI_Periods +1, MATCH("Adj Close", Price_Header,0))): INDIRECT(ADDRESS(ROW($F30),MATCH("Adj Close", Price_Header,0)))))</f>
        <v>45.321428571428569</v>
      </c>
      <c r="K30" s="10">
        <f ca="1">IF(tbl_BEP[[#This Row],[BB_Mean]]="", "", tbl_BEP[[#This Row],[BB_Mean]]+(BB_Width*tbl_BEP[[#This Row],[BB_Stdev]]))</f>
        <v>47.299055076460952</v>
      </c>
      <c r="L30" s="10">
        <f ca="1">IF(tbl_BEP[[#This Row],[BB_Mean]]="", "", tbl_BEP[[#This Row],[BB_Mean]]-(BB_Width*tbl_BEP[[#This Row],[BB_Stdev]]))</f>
        <v>43.343802066396186</v>
      </c>
      <c r="M30" s="46">
        <f>IF(ROW(tbl_BEP[[#This Row],[Adj Close]])=5, 0, $F30-$F29)</f>
        <v>1.2100000000000009</v>
      </c>
      <c r="N30" s="46">
        <f>MAX(tbl_BEP[[#This Row],[Move]],0)</f>
        <v>1.2100000000000009</v>
      </c>
      <c r="O30" s="46">
        <f>MAX(-tbl_BEP[[#This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0.2499999999999995</v>
      </c>
      <c r="Q30" s="46">
        <f ca="1">IF(ROW($O30)-5&lt;RSI_Periods, "", AVERAGE(INDIRECT(ADDRESS(ROW($O30)-RSI_Periods +1, MATCH("Downmove", Price_Header,0))): INDIRECT(ADDRESS(ROW($O30),MATCH("Downmove", Price_Header,0)))))</f>
        <v>0.32285714285714256</v>
      </c>
      <c r="R30" s="46">
        <f ca="1">IF(tbl_BEP[[#This Row],[Avg_Upmove]]="", "", tbl_BEP[[#This Row],[Avg_Upmove]]/tbl_BEP[[#This Row],[Avg_Downmove]])</f>
        <v>0.77433628318583991</v>
      </c>
      <c r="S30" s="10">
        <f ca="1">IF(ROW($N30)-4&lt;BB_Periods, "", _xlfn.STDEV.S(INDIRECT(ADDRESS(ROW($F30)-RSI_Periods +1, MATCH("Adj Close", Price_Header,0))): INDIRECT(ADDRESS(ROW($F30),MATCH("Adj Close", Price_Header,0)))))</f>
        <v>0.98881325251619123</v>
      </c>
    </row>
    <row r="31" spans="1:19" x14ac:dyDescent="0.35">
      <c r="A31" s="8">
        <v>44090</v>
      </c>
      <c r="B31" s="10">
        <v>45.85</v>
      </c>
      <c r="C31" s="10">
        <v>46.19</v>
      </c>
      <c r="D31" s="10">
        <v>45.55</v>
      </c>
      <c r="E31" s="10">
        <v>45.8</v>
      </c>
      <c r="F31" s="10">
        <v>45.8</v>
      </c>
      <c r="G31">
        <v>342900</v>
      </c>
      <c r="H31" s="10">
        <f>IF(tbl_BEP[[#This Row],[Date]]=$A$5, $F31, EMA_Beta*$H30 + (1-EMA_Beta)*$F31)</f>
        <v>45.095637549238845</v>
      </c>
      <c r="I31" s="46">
        <f ca="1">IF(tbl_BEP[[#This Row],[RS]]= "", "", 100-(100/(1+tbl_BEP[[#This Row],[RS]])))</f>
        <v>41.526520051746424</v>
      </c>
      <c r="J31" s="10">
        <f ca="1">IF(ROW($N31)-4&lt;BB_Periods, "", AVERAGE(INDIRECT(ADDRESS(ROW($F31)-RSI_Periods +1, MATCH("Adj Close", Price_Header,0))): INDIRECT(ADDRESS(ROW($F31),MATCH("Adj Close", Price_Header,0)))))</f>
        <v>45.227857142857147</v>
      </c>
      <c r="K31" s="10">
        <f ca="1">IF(tbl_BEP[[#This Row],[BB_Mean]]="", "", tbl_BEP[[#This Row],[BB_Mean]]+(BB_Width*tbl_BEP[[#This Row],[BB_Stdev]]))</f>
        <v>46.948164424379009</v>
      </c>
      <c r="L31" s="10">
        <f ca="1">IF(tbl_BEP[[#This Row],[BB_Mean]]="", "", tbl_BEP[[#This Row],[BB_Mean]]-(BB_Width*tbl_BEP[[#This Row],[BB_Stdev]]))</f>
        <v>43.507549861335285</v>
      </c>
      <c r="M31" s="46">
        <f>IF(ROW(tbl_BEP[[#This Row],[Adj Close]])=5, 0, $F31-$F30)</f>
        <v>0.46999999999999886</v>
      </c>
      <c r="N31" s="46">
        <f>MAX(tbl_BEP[[#This Row],[Move]],0)</f>
        <v>0.46999999999999886</v>
      </c>
      <c r="O31" s="46">
        <f>MAX(-tbl_BEP[[#This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0.22928571428571384</v>
      </c>
      <c r="Q31" s="46">
        <f ca="1">IF(ROW($O31)-5&lt;RSI_Periods, "", AVERAGE(INDIRECT(ADDRESS(ROW($O31)-RSI_Periods +1, MATCH("Downmove", Price_Header,0))): INDIRECT(ADDRESS(ROW($O31),MATCH("Downmove", Price_Header,0)))))</f>
        <v>0.32285714285714256</v>
      </c>
      <c r="R31" s="46">
        <f ca="1">IF(tbl_BEP[[#This Row],[Avg_Upmove]]="", "", tbl_BEP[[#This Row],[Avg_Upmove]]/tbl_BEP[[#This Row],[Avg_Downmove]])</f>
        <v>0.71017699115044175</v>
      </c>
      <c r="S31" s="10">
        <f ca="1">IF(ROW($N31)-4&lt;BB_Periods, "", _xlfn.STDEV.S(INDIRECT(ADDRESS(ROW($F31)-RSI_Periods +1, MATCH("Adj Close", Price_Header,0))): INDIRECT(ADDRESS(ROW($F31),MATCH("Adj Close", Price_Header,0)))))</f>
        <v>0.86015364076093181</v>
      </c>
    </row>
    <row r="32" spans="1:19" x14ac:dyDescent="0.35">
      <c r="A32" s="8">
        <v>44091</v>
      </c>
      <c r="B32" s="10">
        <v>45.04</v>
      </c>
      <c r="C32" s="10">
        <v>45.97</v>
      </c>
      <c r="D32" s="10">
        <v>45.04</v>
      </c>
      <c r="E32" s="10">
        <v>45.93</v>
      </c>
      <c r="F32" s="10">
        <v>45.93</v>
      </c>
      <c r="G32">
        <v>290500</v>
      </c>
      <c r="H32" s="10">
        <f>IF(tbl_BEP[[#This Row],[Date]]=$A$5, $F32, EMA_Beta*$H31 + (1-EMA_Beta)*$F32)</f>
        <v>45.179073794314959</v>
      </c>
      <c r="I32" s="46">
        <f ca="1">IF(tbl_BEP[[#This Row],[RS]]= "", "", 100-(100/(1+tbl_BEP[[#This Row],[RS]])))</f>
        <v>43.152454780361737</v>
      </c>
      <c r="J32" s="10">
        <f ca="1">IF(ROW($N32)-4&lt;BB_Periods, "", AVERAGE(INDIRECT(ADDRESS(ROW($F32)-RSI_Periods +1, MATCH("Adj Close", Price_Header,0))): INDIRECT(ADDRESS(ROW($F32),MATCH("Adj Close", Price_Header,0)))))</f>
        <v>45.152142857142849</v>
      </c>
      <c r="K32" s="10">
        <f ca="1">IF(tbl_BEP[[#This Row],[BB_Mean]]="", "", tbl_BEP[[#This Row],[BB_Mean]]+(BB_Width*tbl_BEP[[#This Row],[BB_Stdev]]))</f>
        <v>46.611946396536545</v>
      </c>
      <c r="L32" s="10">
        <f ca="1">IF(tbl_BEP[[#This Row],[BB_Mean]]="", "", tbl_BEP[[#This Row],[BB_Mean]]-(BB_Width*tbl_BEP[[#This Row],[BB_Stdev]]))</f>
        <v>43.692339317749152</v>
      </c>
      <c r="M32" s="46">
        <f>IF(ROW(tbl_BEP[[#This Row],[Adj Close]])=5, 0, $F32-$F31)</f>
        <v>0.13000000000000256</v>
      </c>
      <c r="N32" s="46">
        <f>MAX(tbl_BEP[[#This Row],[Move]],0)</f>
        <v>0.13000000000000256</v>
      </c>
      <c r="O32" s="46">
        <f>MAX(-tbl_BEP[[#This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0.2385714285714283</v>
      </c>
      <c r="Q32" s="46">
        <f ca="1">IF(ROW($O32)-5&lt;RSI_Periods, "", AVERAGE(INDIRECT(ADDRESS(ROW($O32)-RSI_Periods +1, MATCH("Downmove", Price_Header,0))): INDIRECT(ADDRESS(ROW($O32),MATCH("Downmove", Price_Header,0)))))</f>
        <v>0.31428571428571417</v>
      </c>
      <c r="R32" s="46">
        <f ca="1">IF(tbl_BEP[[#This Row],[Avg_Upmove]]="", "", tbl_BEP[[#This Row],[Avg_Upmove]]/tbl_BEP[[#This Row],[Avg_Downmove]])</f>
        <v>0.75909090909090848</v>
      </c>
      <c r="S32" s="10">
        <f ca="1">IF(ROW($N32)-4&lt;BB_Periods, "", _xlfn.STDEV.S(INDIRECT(ADDRESS(ROW($F32)-RSI_Periods +1, MATCH("Adj Close", Price_Header,0))): INDIRECT(ADDRESS(ROW($F32),MATCH("Adj Close", Price_Header,0)))))</f>
        <v>0.72990176969684994</v>
      </c>
    </row>
    <row r="33" spans="1:19" x14ac:dyDescent="0.35">
      <c r="A33" s="8">
        <v>44092</v>
      </c>
      <c r="B33" s="10">
        <v>45.95</v>
      </c>
      <c r="C33" s="10">
        <v>46.09</v>
      </c>
      <c r="D33" s="10">
        <v>45.16</v>
      </c>
      <c r="E33" s="10">
        <v>45.95</v>
      </c>
      <c r="F33" s="10">
        <v>45.95</v>
      </c>
      <c r="G33">
        <v>401400</v>
      </c>
      <c r="H33" s="10">
        <f>IF(tbl_BEP[[#This Row],[Date]]=$A$5, $F33, EMA_Beta*$H32 + (1-EMA_Beta)*$F33)</f>
        <v>45.256166414883467</v>
      </c>
      <c r="I33" s="46">
        <f ca="1">IF(tbl_BEP[[#This Row],[RS]]= "", "", 100-(100/(1+tbl_BEP[[#This Row],[RS]])))</f>
        <v>47.457627118644069</v>
      </c>
      <c r="J33" s="10">
        <f ca="1">IF(ROW($N33)-4&lt;BB_Periods, "", AVERAGE(INDIRECT(ADDRESS(ROW($F33)-RSI_Periods +1, MATCH("Adj Close", Price_Header,0))): INDIRECT(ADDRESS(ROW($F33),MATCH("Adj Close", Price_Header,0)))))</f>
        <v>45.126428571428569</v>
      </c>
      <c r="K33" s="10">
        <f ca="1">IF(tbl_BEP[[#This Row],[BB_Mean]]="", "", tbl_BEP[[#This Row],[BB_Mean]]+(BB_Width*tbl_BEP[[#This Row],[BB_Stdev]]))</f>
        <v>46.509014935799726</v>
      </c>
      <c r="L33" s="10">
        <f ca="1">IF(tbl_BEP[[#This Row],[BB_Mean]]="", "", tbl_BEP[[#This Row],[BB_Mean]]-(BB_Width*tbl_BEP[[#This Row],[BB_Stdev]]))</f>
        <v>43.743842207057412</v>
      </c>
      <c r="M33" s="46">
        <f>IF(ROW(tbl_BEP[[#This Row],[Adj Close]])=5, 0, $F33-$F32)</f>
        <v>2.0000000000003126E-2</v>
      </c>
      <c r="N33" s="46">
        <f>MAX(tbl_BEP[[#This Row],[Move]],0)</f>
        <v>2.0000000000003126E-2</v>
      </c>
      <c r="O33" s="46">
        <f>MAX(-tbl_BEP[[#This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0.23999999999999996</v>
      </c>
      <c r="Q33" s="46">
        <f ca="1">IF(ROW($O33)-5&lt;RSI_Periods, "", AVERAGE(INDIRECT(ADDRESS(ROW($O33)-RSI_Periods +1, MATCH("Downmove", Price_Header,0))): INDIRECT(ADDRESS(ROW($O33),MATCH("Downmove", Price_Header,0)))))</f>
        <v>0.26571428571428563</v>
      </c>
      <c r="R33" s="46">
        <f ca="1">IF(tbl_BEP[[#This Row],[Avg_Upmove]]="", "", tbl_BEP[[#This Row],[Avg_Upmove]]/tbl_BEP[[#This Row],[Avg_Downmove]])</f>
        <v>0.9032258064516131</v>
      </c>
      <c r="S33" s="10">
        <f ca="1">IF(ROW($N33)-4&lt;BB_Periods, "", _xlfn.STDEV.S(INDIRECT(ADDRESS(ROW($F33)-RSI_Periods +1, MATCH("Adj Close", Price_Header,0))): INDIRECT(ADDRESS(ROW($F33),MATCH("Adj Close", Price_Header,0)))))</f>
        <v>0.69129318218557856</v>
      </c>
    </row>
    <row r="34" spans="1:19" x14ac:dyDescent="0.35">
      <c r="A34" s="8">
        <v>44095</v>
      </c>
      <c r="B34" s="10">
        <v>45.98</v>
      </c>
      <c r="C34" s="10">
        <v>46.01</v>
      </c>
      <c r="D34" s="10">
        <v>44.98</v>
      </c>
      <c r="E34" s="10">
        <v>45.8</v>
      </c>
      <c r="F34" s="10">
        <v>45.8</v>
      </c>
      <c r="G34">
        <v>335900</v>
      </c>
      <c r="H34" s="10">
        <f>IF(tbl_BEP[[#This Row],[Date]]=$A$5, $F34, EMA_Beta*$H33 + (1-EMA_Beta)*$F34)</f>
        <v>45.310549773395117</v>
      </c>
      <c r="I34" s="46">
        <f ca="1">IF(tbl_BEP[[#This Row],[RS]]= "", "", 100-(100/(1+tbl_BEP[[#This Row],[RS]])))</f>
        <v>52.830188679245282</v>
      </c>
      <c r="J34" s="10">
        <f ca="1">IF(ROW($N34)-4&lt;BB_Periods, "", AVERAGE(INDIRECT(ADDRESS(ROW($F34)-RSI_Periods +1, MATCH("Adj Close", Price_Header,0))): INDIRECT(ADDRESS(ROW($F34),MATCH("Adj Close", Price_Header,0)))))</f>
        <v>45.152142857142856</v>
      </c>
      <c r="K34" s="10">
        <f ca="1">IF(tbl_BEP[[#This Row],[BB_Mean]]="", "", tbl_BEP[[#This Row],[BB_Mean]]+(BB_Width*tbl_BEP[[#This Row],[BB_Stdev]]))</f>
        <v>46.57272082340932</v>
      </c>
      <c r="L34" s="10">
        <f ca="1">IF(tbl_BEP[[#This Row],[BB_Mean]]="", "", tbl_BEP[[#This Row],[BB_Mean]]-(BB_Width*tbl_BEP[[#This Row],[BB_Stdev]]))</f>
        <v>43.731564890876392</v>
      </c>
      <c r="M34" s="46">
        <f>IF(ROW(tbl_BEP[[#This Row],[Adj Close]])=5, 0, $F34-$F33)</f>
        <v>-0.15000000000000568</v>
      </c>
      <c r="N34" s="46">
        <f>MAX(tbl_BEP[[#This Row],[Move]],0)</f>
        <v>0</v>
      </c>
      <c r="O34" s="46">
        <f>MAX(-tbl_BEP[[#This Row],[Move]],0)</f>
        <v>0.15000000000000568</v>
      </c>
      <c r="P34" s="46">
        <f ca="1">IF(ROW($N34)-5&lt;RSI_Periods, "", AVERAGE(INDIRECT(ADDRESS(ROW($N34)-RSI_Periods +1, MATCH("Upmove", Price_Header,0))): INDIRECT(ADDRESS(ROW($N34),MATCH("Upmove", Price_Header,0)))))</f>
        <v>0.23999999999999996</v>
      </c>
      <c r="Q34" s="46">
        <f ca="1">IF(ROW($O34)-5&lt;RSI_Periods, "", AVERAGE(INDIRECT(ADDRESS(ROW($O34)-RSI_Periods +1, MATCH("Downmove", Price_Header,0))): INDIRECT(ADDRESS(ROW($O34),MATCH("Downmove", Price_Header,0)))))</f>
        <v>0.21428571428571427</v>
      </c>
      <c r="R34" s="46">
        <f ca="1">IF(tbl_BEP[[#This Row],[Avg_Upmove]]="", "", tbl_BEP[[#This Row],[Avg_Upmove]]/tbl_BEP[[#This Row],[Avg_Downmove]])</f>
        <v>1.1199999999999999</v>
      </c>
      <c r="S34" s="10">
        <f ca="1">IF(ROW($N34)-4&lt;BB_Periods, "", _xlfn.STDEV.S(INDIRECT(ADDRESS(ROW($F34)-RSI_Periods +1, MATCH("Adj Close", Price_Header,0))): INDIRECT(ADDRESS(ROW($F34),MATCH("Adj Close", Price_Header,0)))))</f>
        <v>0.71028898313323097</v>
      </c>
    </row>
    <row r="35" spans="1:19" x14ac:dyDescent="0.35">
      <c r="A35" s="8">
        <v>44096</v>
      </c>
      <c r="B35" s="10">
        <v>45.97</v>
      </c>
      <c r="C35" s="10">
        <v>46.24</v>
      </c>
      <c r="D35" s="10">
        <v>45.33</v>
      </c>
      <c r="E35" s="10">
        <v>45.83</v>
      </c>
      <c r="F35" s="10">
        <v>45.83</v>
      </c>
      <c r="G35">
        <v>286400</v>
      </c>
      <c r="H35" s="10">
        <f>IF(tbl_BEP[[#This Row],[Date]]=$A$5, $F35, EMA_Beta*$H34 + (1-EMA_Beta)*$F35)</f>
        <v>45.362494796055607</v>
      </c>
      <c r="I35" s="46">
        <f ca="1">IF(tbl_BEP[[#This Row],[RS]]= "", "", 100-(100/(1+tbl_BEP[[#This Row],[RS]])))</f>
        <v>56.405990016638896</v>
      </c>
      <c r="J35" s="10">
        <f ca="1">IF(ROW($N35)-4&lt;BB_Periods, "", AVERAGE(INDIRECT(ADDRESS(ROW($F35)-RSI_Periods +1, MATCH("Adj Close", Price_Header,0))): INDIRECT(ADDRESS(ROW($F35),MATCH("Adj Close", Price_Header,0)))))</f>
        <v>45.207142857142856</v>
      </c>
      <c r="K35" s="10">
        <f ca="1">IF(tbl_BEP[[#This Row],[BB_Mean]]="", "", tbl_BEP[[#This Row],[BB_Mean]]+(BB_Width*tbl_BEP[[#This Row],[BB_Stdev]]))</f>
        <v>46.671308223411373</v>
      </c>
      <c r="L35" s="10">
        <f ca="1">IF(tbl_BEP[[#This Row],[BB_Mean]]="", "", tbl_BEP[[#This Row],[BB_Mean]]-(BB_Width*tbl_BEP[[#This Row],[BB_Stdev]]))</f>
        <v>43.742977490874338</v>
      </c>
      <c r="M35" s="46">
        <f>IF(ROW(tbl_BEP[[#This Row],[Adj Close]])=5, 0, $F35-$F34)</f>
        <v>3.0000000000001137E-2</v>
      </c>
      <c r="N35" s="46">
        <f>MAX(tbl_BEP[[#This Row],[Move]],0)</f>
        <v>3.0000000000001137E-2</v>
      </c>
      <c r="O35" s="46">
        <f>MAX(-tbl_BEP[[#This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0.24214285714285719</v>
      </c>
      <c r="Q35" s="46">
        <f ca="1">IF(ROW($O35)-5&lt;RSI_Periods, "", AVERAGE(INDIRECT(ADDRESS(ROW($O35)-RSI_Periods +1, MATCH("Downmove", Price_Header,0))): INDIRECT(ADDRESS(ROW($O35),MATCH("Downmove", Price_Header,0)))))</f>
        <v>0.18714285714285747</v>
      </c>
      <c r="R35" s="46">
        <f ca="1">IF(tbl_BEP[[#This Row],[Avg_Upmove]]="", "", tbl_BEP[[#This Row],[Avg_Upmove]]/tbl_BEP[[#This Row],[Avg_Downmove]])</f>
        <v>1.2938931297709904</v>
      </c>
      <c r="S35" s="10">
        <f ca="1">IF(ROW($N35)-4&lt;BB_Periods, "", _xlfn.STDEV.S(INDIRECT(ADDRESS(ROW($F35)-RSI_Periods +1, MATCH("Adj Close", Price_Header,0))): INDIRECT(ADDRESS(ROW($F35),MATCH("Adj Close", Price_Header,0)))))</f>
        <v>0.73208268313425817</v>
      </c>
    </row>
    <row r="36" spans="1:19" x14ac:dyDescent="0.35">
      <c r="A36" s="8">
        <v>44097</v>
      </c>
      <c r="B36" s="10">
        <v>45.91</v>
      </c>
      <c r="C36" s="10">
        <v>46</v>
      </c>
      <c r="D36" s="10">
        <v>44.78</v>
      </c>
      <c r="E36" s="10">
        <v>45.27</v>
      </c>
      <c r="F36" s="10">
        <v>45.27</v>
      </c>
      <c r="G36">
        <v>232300</v>
      </c>
      <c r="H36" s="10">
        <f>IF(tbl_BEP[[#This Row],[Date]]=$A$5, $F36, EMA_Beta*$H35 + (1-EMA_Beta)*$F36)</f>
        <v>45.35324531645005</v>
      </c>
      <c r="I36" s="46">
        <f ca="1">IF(tbl_BEP[[#This Row],[RS]]= "", "", 100-(100/(1+tbl_BEP[[#This Row],[RS]])))</f>
        <v>43.010752688172111</v>
      </c>
      <c r="J36" s="10">
        <f ca="1">IF(ROW($N36)-4&lt;BB_Periods, "", AVERAGE(INDIRECT(ADDRESS(ROW($F36)-RSI_Periods +1, MATCH("Adj Close", Price_Header,0))): INDIRECT(ADDRESS(ROW($F36),MATCH("Adj Close", Price_Header,0)))))</f>
        <v>45.151428571428575</v>
      </c>
      <c r="K36" s="10">
        <f ca="1">IF(tbl_BEP[[#This Row],[BB_Mean]]="", "", tbl_BEP[[#This Row],[BB_Mean]]+(BB_Width*tbl_BEP[[#This Row],[BB_Stdev]]))</f>
        <v>46.53455451024881</v>
      </c>
      <c r="L36" s="10">
        <f ca="1">IF(tbl_BEP[[#This Row],[BB_Mean]]="", "", tbl_BEP[[#This Row],[BB_Mean]]-(BB_Width*tbl_BEP[[#This Row],[BB_Stdev]]))</f>
        <v>43.768302632608339</v>
      </c>
      <c r="M36" s="46">
        <f>IF(ROW(tbl_BEP[[#This Row],[Adj Close]])=5, 0, $F36-$F35)</f>
        <v>-0.55999999999999517</v>
      </c>
      <c r="N36" s="46">
        <f>MAX(tbl_BEP[[#This Row],[Move]],0)</f>
        <v>0</v>
      </c>
      <c r="O36" s="46">
        <f>MAX(-tbl_BEP[[#This Row],[Move]],0)</f>
        <v>0.55999999999999517</v>
      </c>
      <c r="P36" s="46">
        <f ca="1">IF(ROW($N36)-5&lt;RSI_Periods, "", AVERAGE(INDIRECT(ADDRESS(ROW($N36)-RSI_Periods +1, MATCH("Upmove", Price_Header,0))): INDIRECT(ADDRESS(ROW($N36),MATCH("Upmove", Price_Header,0)))))</f>
        <v>0.17142857142857185</v>
      </c>
      <c r="Q36" s="46">
        <f ca="1">IF(ROW($O36)-5&lt;RSI_Periods, "", AVERAGE(INDIRECT(ADDRESS(ROW($O36)-RSI_Periods +1, MATCH("Downmove", Price_Header,0))): INDIRECT(ADDRESS(ROW($O36),MATCH("Downmove", Price_Header,0)))))</f>
        <v>0.22714285714285712</v>
      </c>
      <c r="R36" s="46">
        <f ca="1">IF(tbl_BEP[[#This Row],[Avg_Upmove]]="", "", tbl_BEP[[#This Row],[Avg_Upmove]]/tbl_BEP[[#This Row],[Avg_Downmove]])</f>
        <v>0.75471698113207741</v>
      </c>
      <c r="S36" s="10">
        <f ca="1">IF(ROW($N36)-4&lt;BB_Periods, "", _xlfn.STDEV.S(INDIRECT(ADDRESS(ROW($F36)-RSI_Periods +1, MATCH("Adj Close", Price_Header,0))): INDIRECT(ADDRESS(ROW($F36),MATCH("Adj Close", Price_Header,0)))))</f>
        <v>0.69156296941011852</v>
      </c>
    </row>
    <row r="37" spans="1:19" x14ac:dyDescent="0.35">
      <c r="A37" s="8">
        <v>44098</v>
      </c>
      <c r="B37" s="10">
        <v>44.84</v>
      </c>
      <c r="C37" s="10">
        <v>45.49</v>
      </c>
      <c r="D37" s="10">
        <v>44.7</v>
      </c>
      <c r="E37" s="10">
        <v>45.4</v>
      </c>
      <c r="F37" s="10">
        <v>45.4</v>
      </c>
      <c r="G37">
        <v>274500</v>
      </c>
      <c r="H37" s="10">
        <f>IF(tbl_BEP[[#This Row],[Date]]=$A$5, $F37, EMA_Beta*$H36 + (1-EMA_Beta)*$F37)</f>
        <v>45.357920784805046</v>
      </c>
      <c r="I37" s="46">
        <f ca="1">IF(tbl_BEP[[#This Row],[RS]]= "", "", 100-(100/(1+tbl_BEP[[#This Row],[RS]])))</f>
        <v>51.1111111111111</v>
      </c>
      <c r="J37" s="10">
        <f ca="1">IF(ROW($N37)-4&lt;BB_Periods, "", AVERAGE(INDIRECT(ADDRESS(ROW($F37)-RSI_Periods +1, MATCH("Adj Close", Price_Header,0))): INDIRECT(ADDRESS(ROW($F37),MATCH("Adj Close", Price_Header,0)))))</f>
        <v>45.159285714285708</v>
      </c>
      <c r="K37" s="10">
        <f ca="1">IF(tbl_BEP[[#This Row],[BB_Mean]]="", "", tbl_BEP[[#This Row],[BB_Mean]]+(BB_Width*tbl_BEP[[#This Row],[BB_Stdev]]))</f>
        <v>46.547044600142584</v>
      </c>
      <c r="L37" s="10">
        <f ca="1">IF(tbl_BEP[[#This Row],[BB_Mean]]="", "", tbl_BEP[[#This Row],[BB_Mean]]-(BB_Width*tbl_BEP[[#This Row],[BB_Stdev]]))</f>
        <v>43.771526828428833</v>
      </c>
      <c r="M37" s="46">
        <f>IF(ROW(tbl_BEP[[#This Row],[Adj Close]])=5, 0, $F37-$F36)</f>
        <v>0.12999999999999545</v>
      </c>
      <c r="N37" s="46">
        <f>MAX(tbl_BEP[[#This Row],[Move]],0)</f>
        <v>0.12999999999999545</v>
      </c>
      <c r="O37" s="46">
        <f>MAX(-tbl_BEP[[#This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0.1807142857142858</v>
      </c>
      <c r="Q37" s="46">
        <f ca="1">IF(ROW($O37)-5&lt;RSI_Periods, "", AVERAGE(INDIRECT(ADDRESS(ROW($O37)-RSI_Periods +1, MATCH("Downmove", Price_Header,0))): INDIRECT(ADDRESS(ROW($O37),MATCH("Downmove", Price_Header,0)))))</f>
        <v>0.17285714285714299</v>
      </c>
      <c r="R37" s="46">
        <f ca="1">IF(tbl_BEP[[#This Row],[Avg_Upmove]]="", "", tbl_BEP[[#This Row],[Avg_Upmove]]/tbl_BEP[[#This Row],[Avg_Downmove]])</f>
        <v>1.0454545454545452</v>
      </c>
      <c r="S37" s="10">
        <f ca="1">IF(ROW($N37)-4&lt;BB_Periods, "", _xlfn.STDEV.S(INDIRECT(ADDRESS(ROW($F37)-RSI_Periods +1, MATCH("Adj Close", Price_Header,0))): INDIRECT(ADDRESS(ROW($F37),MATCH("Adj Close", Price_Header,0)))))</f>
        <v>0.69387944292843928</v>
      </c>
    </row>
    <row r="38" spans="1:19" x14ac:dyDescent="0.35">
      <c r="A38" s="8">
        <v>44099</v>
      </c>
      <c r="B38" s="10">
        <v>45.53</v>
      </c>
      <c r="C38" s="10">
        <v>48.47</v>
      </c>
      <c r="D38" s="10">
        <v>45.32</v>
      </c>
      <c r="E38" s="10">
        <v>48.35</v>
      </c>
      <c r="F38" s="10">
        <v>48.35</v>
      </c>
      <c r="G38">
        <v>450000</v>
      </c>
      <c r="H38" s="10">
        <f>IF(tbl_BEP[[#This Row],[Date]]=$A$5, $F38, EMA_Beta*$H37 + (1-EMA_Beta)*$F38)</f>
        <v>45.657128706324542</v>
      </c>
      <c r="I38" s="46">
        <f ca="1">IF(tbl_BEP[[#This Row],[RS]]= "", "", 100-(100/(1+tbl_BEP[[#This Row],[RS]])))</f>
        <v>71.633986928104576</v>
      </c>
      <c r="J38" s="10">
        <f ca="1">IF(ROW($N38)-4&lt;BB_Periods, "", AVERAGE(INDIRECT(ADDRESS(ROW($F38)-RSI_Periods +1, MATCH("Adj Close", Price_Header,0))): INDIRECT(ADDRESS(ROW($F38),MATCH("Adj Close", Price_Header,0)))))</f>
        <v>45.395714285714284</v>
      </c>
      <c r="K38" s="10">
        <f ca="1">IF(tbl_BEP[[#This Row],[BB_Mean]]="", "", tbl_BEP[[#This Row],[BB_Mean]]+(BB_Width*tbl_BEP[[#This Row],[BB_Stdev]]))</f>
        <v>47.589617926901198</v>
      </c>
      <c r="L38" s="10">
        <f ca="1">IF(tbl_BEP[[#This Row],[BB_Mean]]="", "", tbl_BEP[[#This Row],[BB_Mean]]-(BB_Width*tbl_BEP[[#This Row],[BB_Stdev]]))</f>
        <v>43.20181064452737</v>
      </c>
      <c r="M38" s="46">
        <f>IF(ROW(tbl_BEP[[#This Row],[Adj Close]])=5, 0, $F38-$F37)</f>
        <v>2.9500000000000028</v>
      </c>
      <c r="N38" s="46">
        <f>MAX(tbl_BEP[[#This Row],[Move]],0)</f>
        <v>2.9500000000000028</v>
      </c>
      <c r="O38" s="46">
        <f>MAX(-tbl_BEP[[#This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0.39142857142857174</v>
      </c>
      <c r="Q38" s="46">
        <f ca="1">IF(ROW($O38)-5&lt;RSI_Periods, "", AVERAGE(INDIRECT(ADDRESS(ROW($O38)-RSI_Periods +1, MATCH("Downmove", Price_Header,0))): INDIRECT(ADDRESS(ROW($O38),MATCH("Downmove", Price_Header,0)))))</f>
        <v>0.15500000000000011</v>
      </c>
      <c r="R38" s="46">
        <f ca="1">IF(tbl_BEP[[#This Row],[Avg_Upmove]]="", "", tbl_BEP[[#This Row],[Avg_Upmove]]/tbl_BEP[[#This Row],[Avg_Downmove]])</f>
        <v>2.5253456221198158</v>
      </c>
      <c r="S38" s="10">
        <f ca="1">IF(ROW($N38)-4&lt;BB_Periods, "", _xlfn.STDEV.S(INDIRECT(ADDRESS(ROW($F38)-RSI_Periods +1, MATCH("Adj Close", Price_Header,0))): INDIRECT(ADDRESS(ROW($F38),MATCH("Adj Close", Price_Header,0)))))</f>
        <v>1.0969518205934561</v>
      </c>
    </row>
    <row r="39" spans="1:19" x14ac:dyDescent="0.35">
      <c r="A39" s="8">
        <v>44102</v>
      </c>
      <c r="B39" s="10">
        <v>48.6</v>
      </c>
      <c r="C39" s="10">
        <v>49.87</v>
      </c>
      <c r="D39" s="10">
        <v>48.42</v>
      </c>
      <c r="E39" s="10">
        <v>49.67</v>
      </c>
      <c r="F39" s="10">
        <v>49.67</v>
      </c>
      <c r="G39">
        <v>332700</v>
      </c>
      <c r="H39" s="10">
        <f>IF(tbl_BEP[[#This Row],[Date]]=$A$5, $F39, EMA_Beta*$H38 + (1-EMA_Beta)*$F39)</f>
        <v>46.058415835692088</v>
      </c>
      <c r="I39" s="46">
        <f ca="1">IF(tbl_BEP[[#This Row],[RS]]= "", "", 100-(100/(1+tbl_BEP[[#This Row],[RS]])))</f>
        <v>80.952380952380949</v>
      </c>
      <c r="J39" s="10">
        <f ca="1">IF(ROW($N39)-4&lt;BB_Periods, "", AVERAGE(INDIRECT(ADDRESS(ROW($F39)-RSI_Periods +1, MATCH("Adj Close", Price_Header,0))): INDIRECT(ADDRESS(ROW($F39),MATCH("Adj Close", Price_Header,0)))))</f>
        <v>45.767142857142858</v>
      </c>
      <c r="K39" s="10">
        <f ca="1">IF(tbl_BEP[[#This Row],[BB_Mean]]="", "", tbl_BEP[[#This Row],[BB_Mean]]+(BB_Width*tbl_BEP[[#This Row],[BB_Stdev]]))</f>
        <v>48.861757818368531</v>
      </c>
      <c r="L39" s="10">
        <f ca="1">IF(tbl_BEP[[#This Row],[BB_Mean]]="", "", tbl_BEP[[#This Row],[BB_Mean]]-(BB_Width*tbl_BEP[[#This Row],[BB_Stdev]]))</f>
        <v>42.672527895917185</v>
      </c>
      <c r="M39" s="46">
        <f>IF(ROW(tbl_BEP[[#This Row],[Adj Close]])=5, 0, $F39-$F38)</f>
        <v>1.3200000000000003</v>
      </c>
      <c r="N39" s="46">
        <f>MAX(tbl_BEP[[#This Row],[Move]],0)</f>
        <v>1.3200000000000003</v>
      </c>
      <c r="O39" s="46">
        <f>MAX(-tbl_BEP[[#This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0.48571428571428604</v>
      </c>
      <c r="Q39" s="46">
        <f ca="1">IF(ROW($O39)-5&lt;RSI_Periods, "", AVERAGE(INDIRECT(ADDRESS(ROW($O39)-RSI_Periods +1, MATCH("Downmove", Price_Header,0))): INDIRECT(ADDRESS(ROW($O39),MATCH("Downmove", Price_Header,0)))))</f>
        <v>0.11428571428571439</v>
      </c>
      <c r="R39" s="46">
        <f ca="1">IF(tbl_BEP[[#This Row],[Avg_Upmove]]="", "", tbl_BEP[[#This Row],[Avg_Upmove]]/tbl_BEP[[#This Row],[Avg_Downmove]])</f>
        <v>4.2499999999999991</v>
      </c>
      <c r="S39" s="10">
        <f ca="1">IF(ROW($N39)-4&lt;BB_Periods, "", _xlfn.STDEV.S(INDIRECT(ADDRESS(ROW($F39)-RSI_Periods +1, MATCH("Adj Close", Price_Header,0))): INDIRECT(ADDRESS(ROW($F39),MATCH("Adj Close", Price_Header,0)))))</f>
        <v>1.5473074806128362</v>
      </c>
    </row>
    <row r="40" spans="1:19" x14ac:dyDescent="0.35">
      <c r="A40" s="8">
        <v>44103</v>
      </c>
      <c r="B40" s="10">
        <v>49.92</v>
      </c>
      <c r="C40" s="10">
        <v>50.82</v>
      </c>
      <c r="D40" s="10">
        <v>49.65</v>
      </c>
      <c r="E40" s="10">
        <v>50.78</v>
      </c>
      <c r="F40" s="10">
        <v>50.78</v>
      </c>
      <c r="G40">
        <v>223400</v>
      </c>
      <c r="H40" s="10">
        <f>IF(tbl_BEP[[#This Row],[Date]]=$A$5, $F40, EMA_Beta*$H39 + (1-EMA_Beta)*$F40)</f>
        <v>46.530574252122875</v>
      </c>
      <c r="I40" s="46">
        <f ca="1">IF(tbl_BEP[[#This Row],[RS]]= "", "", 100-(100/(1+tbl_BEP[[#This Row],[RS]])))</f>
        <v>82.162764771460417</v>
      </c>
      <c r="J40" s="10">
        <f ca="1">IF(ROW($N40)-4&lt;BB_Periods, "", AVERAGE(INDIRECT(ADDRESS(ROW($F40)-RSI_Periods +1, MATCH("Adj Close", Price_Header,0))): INDIRECT(ADDRESS(ROW($F40),MATCH("Adj Close", Price_Header,0)))))</f>
        <v>46.179285714285705</v>
      </c>
      <c r="K40" s="10">
        <f ca="1">IF(tbl_BEP[[#This Row],[BB_Mean]]="", "", tbl_BEP[[#This Row],[BB_Mean]]+(BB_Width*tbl_BEP[[#This Row],[BB_Stdev]]))</f>
        <v>50.229033773197436</v>
      </c>
      <c r="L40" s="10">
        <f ca="1">IF(tbl_BEP[[#This Row],[BB_Mean]]="", "", tbl_BEP[[#This Row],[BB_Mean]]-(BB_Width*tbl_BEP[[#This Row],[BB_Stdev]]))</f>
        <v>42.129537655373973</v>
      </c>
      <c r="M40" s="46">
        <f>IF(ROW(tbl_BEP[[#This Row],[Adj Close]])=5, 0, $F40-$F39)</f>
        <v>1.1099999999999994</v>
      </c>
      <c r="N40" s="46">
        <f>MAX(tbl_BEP[[#This Row],[Move]],0)</f>
        <v>1.1099999999999994</v>
      </c>
      <c r="O40" s="46">
        <f>MAX(-tbl_BEP[[#This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0.5264285714285718</v>
      </c>
      <c r="Q40" s="46">
        <f ca="1">IF(ROW($O40)-5&lt;RSI_Periods, "", AVERAGE(INDIRECT(ADDRESS(ROW($O40)-RSI_Periods +1, MATCH("Downmove", Price_Header,0))): INDIRECT(ADDRESS(ROW($O40),MATCH("Downmove", Price_Header,0)))))</f>
        <v>0.11428571428571439</v>
      </c>
      <c r="R40" s="46">
        <f ca="1">IF(tbl_BEP[[#This Row],[Avg_Upmove]]="", "", tbl_BEP[[#This Row],[Avg_Upmove]]/tbl_BEP[[#This Row],[Avg_Downmove]])</f>
        <v>4.6062499999999993</v>
      </c>
      <c r="S40" s="10">
        <f ca="1">IF(ROW($N40)-4&lt;BB_Periods, "", _xlfn.STDEV.S(INDIRECT(ADDRESS(ROW($F40)-RSI_Periods +1, MATCH("Adj Close", Price_Header,0))): INDIRECT(ADDRESS(ROW($F40),MATCH("Adj Close", Price_Header,0)))))</f>
        <v>2.0248740294558667</v>
      </c>
    </row>
    <row r="41" spans="1:19" x14ac:dyDescent="0.35">
      <c r="A41" s="8">
        <v>44104</v>
      </c>
      <c r="B41" s="10">
        <v>51.44</v>
      </c>
      <c r="C41" s="10">
        <v>52.72</v>
      </c>
      <c r="D41" s="10">
        <v>51.01</v>
      </c>
      <c r="E41" s="10">
        <v>52.55</v>
      </c>
      <c r="F41" s="10">
        <v>52.55</v>
      </c>
      <c r="G41">
        <v>400800</v>
      </c>
      <c r="H41" s="10">
        <f>IF(tbl_BEP[[#This Row],[Date]]=$A$5, $F41, EMA_Beta*$H40 + (1-EMA_Beta)*$F41)</f>
        <v>47.132516826910582</v>
      </c>
      <c r="I41" s="46">
        <f ca="1">IF(tbl_BEP[[#This Row],[RS]]= "", "", 100-(100/(1+tbl_BEP[[#This Row],[RS]])))</f>
        <v>92.603850050658522</v>
      </c>
      <c r="J41" s="10">
        <f ca="1">IF(ROW($N41)-4&lt;BB_Periods, "", AVERAGE(INDIRECT(ADDRESS(ROW($F41)-RSI_Periods +1, MATCH("Adj Close", Price_Header,0))): INDIRECT(ADDRESS(ROW($F41),MATCH("Adj Close", Price_Header,0)))))</f>
        <v>46.779999999999987</v>
      </c>
      <c r="K41" s="10">
        <f ca="1">IF(tbl_BEP[[#This Row],[BB_Mean]]="", "", tbl_BEP[[#This Row],[BB_Mean]]+(BB_Width*tbl_BEP[[#This Row],[BB_Stdev]]))</f>
        <v>51.884351085103752</v>
      </c>
      <c r="L41" s="10">
        <f ca="1">IF(tbl_BEP[[#This Row],[BB_Mean]]="", "", tbl_BEP[[#This Row],[BB_Mean]]-(BB_Width*tbl_BEP[[#This Row],[BB_Stdev]]))</f>
        <v>41.675648914896222</v>
      </c>
      <c r="M41" s="46">
        <f>IF(ROW(tbl_BEP[[#This Row],[Adj Close]])=5, 0, $F41-$F40)</f>
        <v>1.769999999999996</v>
      </c>
      <c r="N41" s="46">
        <f>MAX(tbl_BEP[[#This Row],[Move]],0)</f>
        <v>1.769999999999996</v>
      </c>
      <c r="O41" s="46">
        <f>MAX(-tbl_BEP[[#This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0.65285714285714291</v>
      </c>
      <c r="Q41" s="46">
        <f ca="1">IF(ROW($O41)-5&lt;RSI_Periods, "", AVERAGE(INDIRECT(ADDRESS(ROW($O41)-RSI_Periods +1, MATCH("Downmove", Price_Header,0))): INDIRECT(ADDRESS(ROW($O41),MATCH("Downmove", Price_Header,0)))))</f>
        <v>5.2142857142857428E-2</v>
      </c>
      <c r="R41" s="46">
        <f ca="1">IF(tbl_BEP[[#This Row],[Avg_Upmove]]="", "", tbl_BEP[[#This Row],[Avg_Upmove]]/tbl_BEP[[#This Row],[Avg_Downmove]])</f>
        <v>12.520547945205411</v>
      </c>
      <c r="S41" s="10">
        <f ca="1">IF(ROW($N41)-4&lt;BB_Periods, "", _xlfn.STDEV.S(INDIRECT(ADDRESS(ROW($F41)-RSI_Periods +1, MATCH("Adj Close", Price_Header,0))): INDIRECT(ADDRESS(ROW($F41),MATCH("Adj Close", Price_Header,0)))))</f>
        <v>2.5521755425518835</v>
      </c>
    </row>
    <row r="42" spans="1:19" x14ac:dyDescent="0.35">
      <c r="A42" s="8">
        <v>44105</v>
      </c>
      <c r="B42" s="10">
        <v>52.7</v>
      </c>
      <c r="C42" s="10">
        <v>54.06</v>
      </c>
      <c r="D42" s="10">
        <v>52.63</v>
      </c>
      <c r="E42" s="10">
        <v>53.83</v>
      </c>
      <c r="F42" s="10">
        <v>53.83</v>
      </c>
      <c r="G42">
        <v>555500</v>
      </c>
      <c r="H42" s="10">
        <f>IF(tbl_BEP[[#This Row],[Date]]=$A$5, $F42, EMA_Beta*$H41 + (1-EMA_Beta)*$F42)</f>
        <v>47.802265144219518</v>
      </c>
      <c r="I42" s="46">
        <f ca="1">IF(tbl_BEP[[#This Row],[RS]]= "", "", 100-(100/(1+tbl_BEP[[#This Row],[RS]])))</f>
        <v>93.452914798206251</v>
      </c>
      <c r="J42" s="10">
        <f ca="1">IF(ROW($N42)-4&lt;BB_Periods, "", AVERAGE(INDIRECT(ADDRESS(ROW($F42)-RSI_Periods +1, MATCH("Adj Close", Price_Header,0))): INDIRECT(ADDRESS(ROW($F42),MATCH("Adj Close", Price_Header,0)))))</f>
        <v>47.472142857142856</v>
      </c>
      <c r="K42" s="10">
        <f ca="1">IF(tbl_BEP[[#This Row],[BB_Mean]]="", "", tbl_BEP[[#This Row],[BB_Mean]]+(BB_Width*tbl_BEP[[#This Row],[BB_Stdev]]))</f>
        <v>53.566347814800096</v>
      </c>
      <c r="L42" s="10">
        <f ca="1">IF(tbl_BEP[[#This Row],[BB_Mean]]="", "", tbl_BEP[[#This Row],[BB_Mean]]-(BB_Width*tbl_BEP[[#This Row],[BB_Stdev]]))</f>
        <v>41.377937899485616</v>
      </c>
      <c r="M42" s="46">
        <f>IF(ROW(tbl_BEP[[#This Row],[Adj Close]])=5, 0, $F42-$F41)</f>
        <v>1.2800000000000011</v>
      </c>
      <c r="N42" s="46">
        <f>MAX(tbl_BEP[[#This Row],[Move]],0)</f>
        <v>1.2800000000000011</v>
      </c>
      <c r="O42" s="46">
        <f>MAX(-tbl_BEP[[#This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0.74428571428571444</v>
      </c>
      <c r="Q42" s="46">
        <f ca="1">IF(ROW($O42)-5&lt;RSI_Periods, "", AVERAGE(INDIRECT(ADDRESS(ROW($O42)-RSI_Periods +1, MATCH("Downmove", Price_Header,0))): INDIRECT(ADDRESS(ROW($O42),MATCH("Downmove", Price_Header,0)))))</f>
        <v>5.2142857142857428E-2</v>
      </c>
      <c r="R42" s="46">
        <f ca="1">IF(tbl_BEP[[#This Row],[Avg_Upmove]]="", "", tbl_BEP[[#This Row],[Avg_Upmove]]/tbl_BEP[[#This Row],[Avg_Downmove]])</f>
        <v>14.273972602739651</v>
      </c>
      <c r="S42" s="10">
        <f ca="1">IF(ROW($N42)-4&lt;BB_Periods, "", _xlfn.STDEV.S(INDIRECT(ADDRESS(ROW($F42)-RSI_Periods +1, MATCH("Adj Close", Price_Header,0))): INDIRECT(ADDRESS(ROW($F42),MATCH("Adj Close", Price_Header,0)))))</f>
        <v>3.0471024788286192</v>
      </c>
    </row>
    <row r="43" spans="1:19" x14ac:dyDescent="0.35">
      <c r="A43" s="8">
        <v>44106</v>
      </c>
      <c r="B43" s="10">
        <v>52.7</v>
      </c>
      <c r="C43" s="10">
        <v>53.94</v>
      </c>
      <c r="D43" s="10">
        <v>52.5</v>
      </c>
      <c r="E43" s="10">
        <v>53.62</v>
      </c>
      <c r="F43" s="10">
        <v>53.62</v>
      </c>
      <c r="G43">
        <v>331300</v>
      </c>
      <c r="H43" s="10">
        <f>IF(tbl_BEP[[#This Row],[Date]]=$A$5, $F43, EMA_Beta*$H42 + (1-EMA_Beta)*$F43)</f>
        <v>48.384038629797573</v>
      </c>
      <c r="I43" s="46">
        <f ca="1">IF(tbl_BEP[[#This Row],[RS]]= "", "", 100-(100/(1+tbl_BEP[[#This Row],[RS]])))</f>
        <v>91.887125220458543</v>
      </c>
      <c r="J43" s="10">
        <f ca="1">IF(ROW($N43)-4&lt;BB_Periods, "", AVERAGE(INDIRECT(ADDRESS(ROW($F43)-RSI_Periods +1, MATCH("Adj Close", Price_Header,0))): INDIRECT(ADDRESS(ROW($F43),MATCH("Adj Close", Price_Header,0)))))</f>
        <v>48.150714285714287</v>
      </c>
      <c r="K43" s="10">
        <f ca="1">IF(tbl_BEP[[#This Row],[BB_Mean]]="", "", tbl_BEP[[#This Row],[BB_Mean]]+(BB_Width*tbl_BEP[[#This Row],[BB_Stdev]]))</f>
        <v>54.733107884892739</v>
      </c>
      <c r="L43" s="10">
        <f ca="1">IF(tbl_BEP[[#This Row],[BB_Mean]]="", "", tbl_BEP[[#This Row],[BB_Mean]]-(BB_Width*tbl_BEP[[#This Row],[BB_Stdev]]))</f>
        <v>41.568320686535834</v>
      </c>
      <c r="M43" s="46">
        <f>IF(ROW(tbl_BEP[[#This Row],[Adj Close]])=5, 0, $F43-$F42)</f>
        <v>-0.21000000000000085</v>
      </c>
      <c r="N43" s="46">
        <f>MAX(tbl_BEP[[#This Row],[Move]],0)</f>
        <v>0</v>
      </c>
      <c r="O43" s="46">
        <f>MAX(-tbl_BEP[[#This Row],[Move]],0)</f>
        <v>0.21000000000000085</v>
      </c>
      <c r="P43" s="46">
        <f ca="1">IF(ROW($N43)-5&lt;RSI_Periods, "", AVERAGE(INDIRECT(ADDRESS(ROW($N43)-RSI_Periods +1, MATCH("Upmove", Price_Header,0))): INDIRECT(ADDRESS(ROW($N43),MATCH("Upmove", Price_Header,0)))))</f>
        <v>0.74428571428571444</v>
      </c>
      <c r="Q43" s="46">
        <f ca="1">IF(ROW($O43)-5&lt;RSI_Periods, "", AVERAGE(INDIRECT(ADDRESS(ROW($O43)-RSI_Periods +1, MATCH("Downmove", Price_Header,0))): INDIRECT(ADDRESS(ROW($O43),MATCH("Downmove", Price_Header,0)))))</f>
        <v>6.5714285714285836E-2</v>
      </c>
      <c r="R43" s="46">
        <f ca="1">IF(tbl_BEP[[#This Row],[Avg_Upmove]]="", "", tbl_BEP[[#This Row],[Avg_Upmove]]/tbl_BEP[[#This Row],[Avg_Downmove]])</f>
        <v>11.326086956521721</v>
      </c>
      <c r="S43" s="10">
        <f ca="1">IF(ROW($N43)-4&lt;BB_Periods, "", _xlfn.STDEV.S(INDIRECT(ADDRESS(ROW($F43)-RSI_Periods +1, MATCH("Adj Close", Price_Header,0))): INDIRECT(ADDRESS(ROW($F43),MATCH("Adj Close", Price_Header,0)))))</f>
        <v>3.2911967995892271</v>
      </c>
    </row>
    <row r="44" spans="1:19" x14ac:dyDescent="0.35">
      <c r="A44" s="8">
        <v>44109</v>
      </c>
      <c r="B44" s="10">
        <v>54.38</v>
      </c>
      <c r="C44" s="10">
        <v>56.07</v>
      </c>
      <c r="D44" s="10">
        <v>53.95</v>
      </c>
      <c r="E44" s="10">
        <v>55.68</v>
      </c>
      <c r="F44" s="10">
        <v>55.68</v>
      </c>
      <c r="G44">
        <v>603900</v>
      </c>
      <c r="H44" s="10">
        <f>IF(tbl_BEP[[#This Row],[Date]]=$A$5, $F44, EMA_Beta*$H43 + (1-EMA_Beta)*$F44)</f>
        <v>49.113634766817817</v>
      </c>
      <c r="I44" s="46">
        <f ca="1">IF(tbl_BEP[[#This Row],[RS]]= "", "", 100-(100/(1+tbl_BEP[[#This Row],[RS]])))</f>
        <v>92.452830188679229</v>
      </c>
      <c r="J44" s="10">
        <f ca="1">IF(ROW($N44)-4&lt;BB_Periods, "", AVERAGE(INDIRECT(ADDRESS(ROW($F44)-RSI_Periods +1, MATCH("Adj Close", Price_Header,0))): INDIRECT(ADDRESS(ROW($F44),MATCH("Adj Close", Price_Header,0)))))</f>
        <v>48.889999999999993</v>
      </c>
      <c r="K44" s="10">
        <f ca="1">IF(tbl_BEP[[#This Row],[BB_Mean]]="", "", tbl_BEP[[#This Row],[BB_Mean]]+(BB_Width*tbl_BEP[[#This Row],[BB_Stdev]]))</f>
        <v>56.371213393972511</v>
      </c>
      <c r="L44" s="10">
        <f ca="1">IF(tbl_BEP[[#This Row],[BB_Mean]]="", "", tbl_BEP[[#This Row],[BB_Mean]]-(BB_Width*tbl_BEP[[#This Row],[BB_Stdev]]))</f>
        <v>41.408786606027476</v>
      </c>
      <c r="M44" s="46">
        <f>IF(ROW(tbl_BEP[[#This Row],[Adj Close]])=5, 0, $F44-$F43)</f>
        <v>2.0600000000000023</v>
      </c>
      <c r="N44" s="46">
        <f>MAX(tbl_BEP[[#This Row],[Move]],0)</f>
        <v>2.0600000000000023</v>
      </c>
      <c r="O44" s="46">
        <f>MAX(-tbl_BEP[[#This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0.80500000000000027</v>
      </c>
      <c r="Q44" s="46">
        <f ca="1">IF(ROW($O44)-5&lt;RSI_Periods, "", AVERAGE(INDIRECT(ADDRESS(ROW($O44)-RSI_Periods +1, MATCH("Downmove", Price_Header,0))): INDIRECT(ADDRESS(ROW($O44),MATCH("Downmove", Price_Header,0)))))</f>
        <v>6.5714285714285836E-2</v>
      </c>
      <c r="R44" s="46">
        <f ca="1">IF(tbl_BEP[[#This Row],[Avg_Upmove]]="", "", tbl_BEP[[#This Row],[Avg_Upmove]]/tbl_BEP[[#This Row],[Avg_Downmove]])</f>
        <v>12.249999999999982</v>
      </c>
      <c r="S44" s="10">
        <f ca="1">IF(ROW($N44)-4&lt;BB_Periods, "", _xlfn.STDEV.S(INDIRECT(ADDRESS(ROW($F44)-RSI_Periods +1, MATCH("Adj Close", Price_Header,0))): INDIRECT(ADDRESS(ROW($F44),MATCH("Adj Close", Price_Header,0)))))</f>
        <v>3.7406066969862599</v>
      </c>
    </row>
    <row r="45" spans="1:19" x14ac:dyDescent="0.35">
      <c r="A45" s="8">
        <v>44110</v>
      </c>
      <c r="B45" s="10">
        <v>55.42</v>
      </c>
      <c r="C45" s="10">
        <v>55.42</v>
      </c>
      <c r="D45" s="10">
        <v>52.21</v>
      </c>
      <c r="E45" s="10">
        <v>52.77</v>
      </c>
      <c r="F45" s="10">
        <v>52.77</v>
      </c>
      <c r="G45">
        <v>835300</v>
      </c>
      <c r="H45" s="10">
        <f>IF(tbl_BEP[[#This Row],[Date]]=$A$5, $F45, EMA_Beta*$H44 + (1-EMA_Beta)*$F45)</f>
        <v>49.47927129013604</v>
      </c>
      <c r="I45" s="46">
        <f ca="1">IF(tbl_BEP[[#This Row],[RS]]= "", "", 100-(100/(1+tbl_BEP[[#This Row],[RS]])))</f>
        <v>73.820915926179097</v>
      </c>
      <c r="J45" s="10">
        <f ca="1">IF(ROW($N45)-4&lt;BB_Periods, "", AVERAGE(INDIRECT(ADDRESS(ROW($F45)-RSI_Periods +1, MATCH("Adj Close", Price_Header,0))): INDIRECT(ADDRESS(ROW($F45),MATCH("Adj Close", Price_Header,0)))))</f>
        <v>49.387857142857136</v>
      </c>
      <c r="K45" s="10">
        <f ca="1">IF(tbl_BEP[[#This Row],[BB_Mean]]="", "", tbl_BEP[[#This Row],[BB_Mean]]+(BB_Width*tbl_BEP[[#This Row],[BB_Stdev]]))</f>
        <v>56.910827826841484</v>
      </c>
      <c r="L45" s="10">
        <f ca="1">IF(tbl_BEP[[#This Row],[BB_Mean]]="", "", tbl_BEP[[#This Row],[BB_Mean]]-(BB_Width*tbl_BEP[[#This Row],[BB_Stdev]]))</f>
        <v>41.864886458872789</v>
      </c>
      <c r="M45" s="46">
        <f>IF(ROW(tbl_BEP[[#This Row],[Adj Close]])=5, 0, $F45-$F44)</f>
        <v>-2.9099999999999966</v>
      </c>
      <c r="N45" s="46">
        <f>MAX(tbl_BEP[[#This Row],[Move]],0)</f>
        <v>0</v>
      </c>
      <c r="O45" s="46">
        <f>MAX(-tbl_BEP[[#This Row],[Move]],0)</f>
        <v>2.9099999999999966</v>
      </c>
      <c r="P45" s="46">
        <f ca="1">IF(ROW($N45)-5&lt;RSI_Periods, "", AVERAGE(INDIRECT(ADDRESS(ROW($N45)-RSI_Periods +1, MATCH("Upmove", Price_Header,0))): INDIRECT(ADDRESS(ROW($N45),MATCH("Upmove", Price_Header,0)))))</f>
        <v>0.77142857142857169</v>
      </c>
      <c r="Q45" s="46">
        <f ca="1">IF(ROW($O45)-5&lt;RSI_Periods, "", AVERAGE(INDIRECT(ADDRESS(ROW($O45)-RSI_Periods +1, MATCH("Downmove", Price_Header,0))): INDIRECT(ADDRESS(ROW($O45),MATCH("Downmove", Price_Header,0)))))</f>
        <v>0.27357142857142847</v>
      </c>
      <c r="R45" s="46">
        <f ca="1">IF(tbl_BEP[[#This Row],[Avg_Upmove]]="", "", tbl_BEP[[#This Row],[Avg_Upmove]]/tbl_BEP[[#This Row],[Avg_Downmove]])</f>
        <v>2.8198433420365556</v>
      </c>
      <c r="S45" s="10">
        <f ca="1">IF(ROW($N45)-4&lt;BB_Periods, "", _xlfn.STDEV.S(INDIRECT(ADDRESS(ROW($F45)-RSI_Periods +1, MATCH("Adj Close", Price_Header,0))): INDIRECT(ADDRESS(ROW($F45),MATCH("Adj Close", Price_Header,0)))))</f>
        <v>3.7614853419921732</v>
      </c>
    </row>
    <row r="46" spans="1:19" x14ac:dyDescent="0.35">
      <c r="A46" s="8">
        <v>44111</v>
      </c>
      <c r="B46" s="10">
        <v>53.15</v>
      </c>
      <c r="C46" s="10">
        <v>53.61</v>
      </c>
      <c r="D46" s="10">
        <v>52.74</v>
      </c>
      <c r="E46" s="10">
        <v>53.11</v>
      </c>
      <c r="F46" s="10">
        <v>53.11</v>
      </c>
      <c r="G46">
        <v>591500</v>
      </c>
      <c r="H46" s="10">
        <f>IF(tbl_BEP[[#This Row],[Date]]=$A$5, $F46, EMA_Beta*$H45 + (1-EMA_Beta)*$F46)</f>
        <v>49.84234416112244</v>
      </c>
      <c r="I46" s="46">
        <f ca="1">IF(tbl_BEP[[#This Row],[RS]]= "", "", 100-(100/(1+tbl_BEP[[#This Row],[RS]])))</f>
        <v>74.191374663072779</v>
      </c>
      <c r="J46" s="10">
        <f ca="1">IF(ROW($N46)-4&lt;BB_Periods, "", AVERAGE(INDIRECT(ADDRESS(ROW($F46)-RSI_Periods +1, MATCH("Adj Close", Price_Header,0))): INDIRECT(ADDRESS(ROW($F46),MATCH("Adj Close", Price_Header,0)))))</f>
        <v>49.900714285714287</v>
      </c>
      <c r="K46" s="10">
        <f ca="1">IF(tbl_BEP[[#This Row],[BB_Mean]]="", "", tbl_BEP[[#This Row],[BB_Mean]]+(BB_Width*tbl_BEP[[#This Row],[BB_Stdev]]))</f>
        <v>57.387097675825714</v>
      </c>
      <c r="L46" s="10">
        <f ca="1">IF(tbl_BEP[[#This Row],[BB_Mean]]="", "", tbl_BEP[[#This Row],[BB_Mean]]-(BB_Width*tbl_BEP[[#This Row],[BB_Stdev]]))</f>
        <v>42.414330895602859</v>
      </c>
      <c r="M46" s="46">
        <f>IF(ROW(tbl_BEP[[#This Row],[Adj Close]])=5, 0, $F46-$F45)</f>
        <v>0.33999999999999631</v>
      </c>
      <c r="N46" s="46">
        <f>MAX(tbl_BEP[[#This Row],[Move]],0)</f>
        <v>0.33999999999999631</v>
      </c>
      <c r="O46" s="46">
        <f>MAX(-tbl_BEP[[#This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0.78642857142857125</v>
      </c>
      <c r="Q46" s="46">
        <f ca="1">IF(ROW($O46)-5&lt;RSI_Periods, "", AVERAGE(INDIRECT(ADDRESS(ROW($O46)-RSI_Periods +1, MATCH("Downmove", Price_Header,0))): INDIRECT(ADDRESS(ROW($O46),MATCH("Downmove", Price_Header,0)))))</f>
        <v>0.27357142857142847</v>
      </c>
      <c r="R46" s="46">
        <f ca="1">IF(tbl_BEP[[#This Row],[Avg_Upmove]]="", "", tbl_BEP[[#This Row],[Avg_Upmove]]/tbl_BEP[[#This Row],[Avg_Downmove]])</f>
        <v>2.8746736292428201</v>
      </c>
      <c r="S46" s="10">
        <f ca="1">IF(ROW($N46)-4&lt;BB_Periods, "", _xlfn.STDEV.S(INDIRECT(ADDRESS(ROW($F46)-RSI_Periods +1, MATCH("Adj Close", Price_Header,0))): INDIRECT(ADDRESS(ROW($F46),MATCH("Adj Close", Price_Header,0)))))</f>
        <v>3.7431916950557129</v>
      </c>
    </row>
    <row r="47" spans="1:19" x14ac:dyDescent="0.35">
      <c r="A47" s="8">
        <v>44112</v>
      </c>
      <c r="B47" s="10">
        <v>52.78</v>
      </c>
      <c r="C47" s="10">
        <v>53.45</v>
      </c>
      <c r="D47" s="10">
        <v>50.94</v>
      </c>
      <c r="E47" s="10">
        <v>51.27</v>
      </c>
      <c r="F47" s="10">
        <v>51.27</v>
      </c>
      <c r="G47">
        <v>653700</v>
      </c>
      <c r="H47" s="10">
        <f>IF(tbl_BEP[[#This Row],[Date]]=$A$5, $F47, EMA_Beta*$H46 + (1-EMA_Beta)*$F47)</f>
        <v>49.985109745010192</v>
      </c>
      <c r="I47" s="46">
        <f ca="1">IF(tbl_BEP[[#This Row],[RS]]= "", "", 100-(100/(1+tbl_BEP[[#This Row],[RS]])))</f>
        <v>65.966386554621863</v>
      </c>
      <c r="J47" s="10">
        <f ca="1">IF(ROW($N47)-4&lt;BB_Periods, "", AVERAGE(INDIRECT(ADDRESS(ROW($F47)-RSI_Periods +1, MATCH("Adj Close", Price_Header,0))): INDIRECT(ADDRESS(ROW($F47),MATCH("Adj Close", Price_Header,0)))))</f>
        <v>50.280714285714282</v>
      </c>
      <c r="K47" s="10">
        <f ca="1">IF(tbl_BEP[[#This Row],[BB_Mean]]="", "", tbl_BEP[[#This Row],[BB_Mean]]+(BB_Width*tbl_BEP[[#This Row],[BB_Stdev]]))</f>
        <v>57.436013405562839</v>
      </c>
      <c r="L47" s="10">
        <f ca="1">IF(tbl_BEP[[#This Row],[BB_Mean]]="", "", tbl_BEP[[#This Row],[BB_Mean]]-(BB_Width*tbl_BEP[[#This Row],[BB_Stdev]]))</f>
        <v>43.125415165865725</v>
      </c>
      <c r="M47" s="46">
        <f>IF(ROW(tbl_BEP[[#This Row],[Adj Close]])=5, 0, $F47-$F46)</f>
        <v>-1.8399999999999963</v>
      </c>
      <c r="N47" s="46">
        <f>MAX(tbl_BEP[[#This Row],[Move]],0)</f>
        <v>0</v>
      </c>
      <c r="O47" s="46">
        <f>MAX(-tbl_BEP[[#This Row],[Move]],0)</f>
        <v>1.8399999999999963</v>
      </c>
      <c r="P47" s="46">
        <f ca="1">IF(ROW($N47)-5&lt;RSI_Periods, "", AVERAGE(INDIRECT(ADDRESS(ROW($N47)-RSI_Periods +1, MATCH("Upmove", Price_Header,0))): INDIRECT(ADDRESS(ROW($N47),MATCH("Upmove", Price_Header,0)))))</f>
        <v>0.78499999999999959</v>
      </c>
      <c r="Q47" s="46">
        <f ca="1">IF(ROW($O47)-5&lt;RSI_Periods, "", AVERAGE(INDIRECT(ADDRESS(ROW($O47)-RSI_Periods +1, MATCH("Downmove", Price_Header,0))): INDIRECT(ADDRESS(ROW($O47),MATCH("Downmove", Price_Header,0)))))</f>
        <v>0.40499999999999964</v>
      </c>
      <c r="R47" s="46">
        <f ca="1">IF(tbl_BEP[[#This Row],[Avg_Upmove]]="", "", tbl_BEP[[#This Row],[Avg_Upmove]]/tbl_BEP[[#This Row],[Avg_Downmove]])</f>
        <v>1.9382716049382722</v>
      </c>
      <c r="S47" s="10">
        <f ca="1">IF(ROW($N47)-4&lt;BB_Periods, "", _xlfn.STDEV.S(INDIRECT(ADDRESS(ROW($F47)-RSI_Periods +1, MATCH("Adj Close", Price_Header,0))): INDIRECT(ADDRESS(ROW($F47),MATCH("Adj Close", Price_Header,0)))))</f>
        <v>3.5776495599242772</v>
      </c>
    </row>
    <row r="48" spans="1:19" x14ac:dyDescent="0.35">
      <c r="A48" s="8">
        <v>44113</v>
      </c>
      <c r="B48" s="10">
        <v>51.66</v>
      </c>
      <c r="C48" s="10">
        <v>52.36</v>
      </c>
      <c r="D48" s="10">
        <v>51.36</v>
      </c>
      <c r="E48" s="10">
        <v>52.24</v>
      </c>
      <c r="F48" s="10">
        <v>52.24</v>
      </c>
      <c r="G48">
        <v>528700</v>
      </c>
      <c r="H48" s="10">
        <f>IF(tbl_BEP[[#This Row],[Date]]=$A$5, $F48, EMA_Beta*$H47 + (1-EMA_Beta)*$F48)</f>
        <v>50.210598770509172</v>
      </c>
      <c r="I48" s="46">
        <f ca="1">IF(tbl_BEP[[#This Row],[RS]]= "", "", 100-(100/(1+tbl_BEP[[#This Row],[RS]])))</f>
        <v>68.421052631578974</v>
      </c>
      <c r="J48" s="10">
        <f ca="1">IF(ROW($N48)-4&lt;BB_Periods, "", AVERAGE(INDIRECT(ADDRESS(ROW($F48)-RSI_Periods +1, MATCH("Adj Close", Price_Header,0))): INDIRECT(ADDRESS(ROW($F48),MATCH("Adj Close", Price_Header,0)))))</f>
        <v>50.740714285714283</v>
      </c>
      <c r="K48" s="10">
        <f ca="1">IF(tbl_BEP[[#This Row],[BB_Mean]]="", "", tbl_BEP[[#This Row],[BB_Mean]]+(BB_Width*tbl_BEP[[#This Row],[BB_Stdev]]))</f>
        <v>57.470535242462695</v>
      </c>
      <c r="L48" s="10">
        <f ca="1">IF(tbl_BEP[[#This Row],[BB_Mean]]="", "", tbl_BEP[[#This Row],[BB_Mean]]-(BB_Width*tbl_BEP[[#This Row],[BB_Stdev]]))</f>
        <v>44.010893328965871</v>
      </c>
      <c r="M48" s="46">
        <f>IF(ROW(tbl_BEP[[#This Row],[Adj Close]])=5, 0, $F48-$F47)</f>
        <v>0.96999999999999886</v>
      </c>
      <c r="N48" s="46">
        <f>MAX(tbl_BEP[[#This Row],[Move]],0)</f>
        <v>0.96999999999999886</v>
      </c>
      <c r="O48" s="46">
        <f>MAX(-tbl_BEP[[#This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0.85428571428571387</v>
      </c>
      <c r="Q48" s="46">
        <f ca="1">IF(ROW($O48)-5&lt;RSI_Periods, "", AVERAGE(INDIRECT(ADDRESS(ROW($O48)-RSI_Periods +1, MATCH("Downmove", Price_Header,0))): INDIRECT(ADDRESS(ROW($O48),MATCH("Downmove", Price_Header,0)))))</f>
        <v>0.39428571428571352</v>
      </c>
      <c r="R48" s="46">
        <f ca="1">IF(tbl_BEP[[#This Row],[Avg_Upmove]]="", "", tbl_BEP[[#This Row],[Avg_Upmove]]/tbl_BEP[[#This Row],[Avg_Downmove]])</f>
        <v>2.1666666666666696</v>
      </c>
      <c r="S48" s="10">
        <f ca="1">IF(ROW($N48)-4&lt;BB_Periods, "", _xlfn.STDEV.S(INDIRECT(ADDRESS(ROW($F48)-RSI_Periods +1, MATCH("Adj Close", Price_Header,0))): INDIRECT(ADDRESS(ROW($F48),MATCH("Adj Close", Price_Header,0)))))</f>
        <v>3.3649104783742056</v>
      </c>
    </row>
    <row r="49" spans="1:19" x14ac:dyDescent="0.35">
      <c r="A49" s="8">
        <v>44116</v>
      </c>
      <c r="B49" s="10">
        <v>52.7</v>
      </c>
      <c r="C49" s="10">
        <v>54.14</v>
      </c>
      <c r="D49" s="10">
        <v>52.36</v>
      </c>
      <c r="E49" s="10">
        <v>53.39</v>
      </c>
      <c r="F49" s="10">
        <v>53.39</v>
      </c>
      <c r="G49">
        <v>403600</v>
      </c>
      <c r="H49" s="10">
        <f>IF(tbl_BEP[[#This Row],[Date]]=$A$5, $F49, EMA_Beta*$H48 + (1-EMA_Beta)*$F49)</f>
        <v>50.528538893458254</v>
      </c>
      <c r="I49" s="46">
        <f ca="1">IF(tbl_BEP[[#This Row],[RS]]= "", "", 100-(100/(1+tbl_BEP[[#This Row],[RS]])))</f>
        <v>70.32258064516131</v>
      </c>
      <c r="J49" s="10">
        <f ca="1">IF(ROW($N49)-4&lt;BB_Periods, "", AVERAGE(INDIRECT(ADDRESS(ROW($F49)-RSI_Periods +1, MATCH("Adj Close", Price_Header,0))): INDIRECT(ADDRESS(ROW($F49),MATCH("Adj Close", Price_Header,0)))))</f>
        <v>51.280714285714282</v>
      </c>
      <c r="K49" s="10">
        <f ca="1">IF(tbl_BEP[[#This Row],[BB_Mean]]="", "", tbl_BEP[[#This Row],[BB_Mean]]+(BB_Width*tbl_BEP[[#This Row],[BB_Stdev]]))</f>
        <v>57.507586394866379</v>
      </c>
      <c r="L49" s="10">
        <f ca="1">IF(tbl_BEP[[#This Row],[BB_Mean]]="", "", tbl_BEP[[#This Row],[BB_Mean]]-(BB_Width*tbl_BEP[[#This Row],[BB_Stdev]]))</f>
        <v>45.053842176562185</v>
      </c>
      <c r="M49" s="46">
        <f>IF(ROW(tbl_BEP[[#This Row],[Adj Close]])=5, 0, $F49-$F48)</f>
        <v>1.1499999999999986</v>
      </c>
      <c r="N49" s="46">
        <f>MAX(tbl_BEP[[#This Row],[Move]],0)</f>
        <v>1.1499999999999986</v>
      </c>
      <c r="O49" s="46">
        <f>MAX(-tbl_BEP[[#This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0.93428571428571361</v>
      </c>
      <c r="Q49" s="46">
        <f ca="1">IF(ROW($O49)-5&lt;RSI_Periods, "", AVERAGE(INDIRECT(ADDRESS(ROW($O49)-RSI_Periods +1, MATCH("Downmove", Price_Header,0))): INDIRECT(ADDRESS(ROW($O49),MATCH("Downmove", Price_Header,0)))))</f>
        <v>0.39428571428571352</v>
      </c>
      <c r="R49" s="46">
        <f ca="1">IF(tbl_BEP[[#This Row],[Avg_Upmove]]="", "", tbl_BEP[[#This Row],[Avg_Upmove]]/tbl_BEP[[#This Row],[Avg_Downmove]])</f>
        <v>2.3695652173913073</v>
      </c>
      <c r="S49" s="10">
        <f ca="1">IF(ROW($N49)-4&lt;BB_Periods, "", _xlfn.STDEV.S(INDIRECT(ADDRESS(ROW($F49)-RSI_Periods +1, MATCH("Adj Close", Price_Header,0))): INDIRECT(ADDRESS(ROW($F49),MATCH("Adj Close", Price_Header,0)))))</f>
        <v>3.1134360545760473</v>
      </c>
    </row>
    <row r="50" spans="1:19" x14ac:dyDescent="0.35">
      <c r="A50" s="8">
        <v>44117</v>
      </c>
      <c r="B50" s="10">
        <v>53.2</v>
      </c>
      <c r="C50" s="10">
        <v>54.06</v>
      </c>
      <c r="D50" s="10">
        <v>53</v>
      </c>
      <c r="E50" s="10">
        <v>53.78</v>
      </c>
      <c r="F50" s="10">
        <v>53.78</v>
      </c>
      <c r="G50">
        <v>340300</v>
      </c>
      <c r="H50" s="10">
        <f>IF(tbl_BEP[[#This Row],[Date]]=$A$5, $F50, EMA_Beta*$H49 + (1-EMA_Beta)*$F50)</f>
        <v>50.853685004112428</v>
      </c>
      <c r="I50" s="46">
        <f ca="1">IF(tbl_BEP[[#This Row],[RS]]= "", "", 100-(100/(1+tbl_BEP[[#This Row],[RS]])))</f>
        <v>73.087357569180696</v>
      </c>
      <c r="J50" s="10">
        <f ca="1">IF(ROW($N50)-4&lt;BB_Periods, "", AVERAGE(INDIRECT(ADDRESS(ROW($F50)-RSI_Periods +1, MATCH("Adj Close", Price_Header,0))): INDIRECT(ADDRESS(ROW($F50),MATCH("Adj Close", Price_Header,0)))))</f>
        <v>51.888571428571424</v>
      </c>
      <c r="K50" s="10">
        <f ca="1">IF(tbl_BEP[[#This Row],[BB_Mean]]="", "", tbl_BEP[[#This Row],[BB_Mean]]+(BB_Width*tbl_BEP[[#This Row],[BB_Stdev]]))</f>
        <v>57.178915940504936</v>
      </c>
      <c r="L50" s="10">
        <f ca="1">IF(tbl_BEP[[#This Row],[BB_Mean]]="", "", tbl_BEP[[#This Row],[BB_Mean]]-(BB_Width*tbl_BEP[[#This Row],[BB_Stdev]]))</f>
        <v>46.598226916637913</v>
      </c>
      <c r="M50" s="46">
        <f>IF(ROW(tbl_BEP[[#This Row],[Adj Close]])=5, 0, $F50-$F49)</f>
        <v>0.39000000000000057</v>
      </c>
      <c r="N50" s="46">
        <f>MAX(tbl_BEP[[#This Row],[Move]],0)</f>
        <v>0.39000000000000057</v>
      </c>
      <c r="O50" s="46">
        <f>MAX(-tbl_BEP[[#This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0.96214285714285652</v>
      </c>
      <c r="Q50" s="46">
        <f ca="1">IF(ROW($O50)-5&lt;RSI_Periods, "", AVERAGE(INDIRECT(ADDRESS(ROW($O50)-RSI_Periods +1, MATCH("Downmove", Price_Header,0))): INDIRECT(ADDRESS(ROW($O50),MATCH("Downmove", Price_Header,0)))))</f>
        <v>0.35428571428571382</v>
      </c>
      <c r="R50" s="46">
        <f ca="1">IF(tbl_BEP[[#This Row],[Avg_Upmove]]="", "", tbl_BEP[[#This Row],[Avg_Upmove]]/tbl_BEP[[#This Row],[Avg_Downmove]])</f>
        <v>2.7157258064516148</v>
      </c>
      <c r="S50" s="10">
        <f ca="1">IF(ROW($N50)-4&lt;BB_Periods, "", _xlfn.STDEV.S(INDIRECT(ADDRESS(ROW($F50)-RSI_Periods +1, MATCH("Adj Close", Price_Header,0))): INDIRECT(ADDRESS(ROW($F50),MATCH("Adj Close", Price_Header,0)))))</f>
        <v>2.6451722559667568</v>
      </c>
    </row>
    <row r="51" spans="1:19" x14ac:dyDescent="0.35">
      <c r="A51" s="8">
        <v>44118</v>
      </c>
      <c r="B51" s="10">
        <v>54</v>
      </c>
      <c r="C51" s="10">
        <v>54.33</v>
      </c>
      <c r="D51" s="10">
        <v>53.24</v>
      </c>
      <c r="E51" s="10">
        <v>54.22</v>
      </c>
      <c r="F51" s="10">
        <v>54.22</v>
      </c>
      <c r="G51">
        <v>275900</v>
      </c>
      <c r="H51" s="10">
        <f>IF(tbl_BEP[[#This Row],[Date]]=$A$5, $F51, EMA_Beta*$H50 + (1-EMA_Beta)*$F51)</f>
        <v>51.190316503701183</v>
      </c>
      <c r="I51" s="46">
        <f ca="1">IF(tbl_BEP[[#This Row],[RS]]= "", "", 100-(100/(1+tbl_BEP[[#This Row],[RS]])))</f>
        <v>73.532550693703328</v>
      </c>
      <c r="J51" s="10">
        <f ca="1">IF(ROW($N51)-4&lt;BB_Periods, "", AVERAGE(INDIRECT(ADDRESS(ROW($F51)-RSI_Periods +1, MATCH("Adj Close", Price_Header,0))): INDIRECT(ADDRESS(ROW($F51),MATCH("Adj Close", Price_Header,0)))))</f>
        <v>52.518571428571427</v>
      </c>
      <c r="K51" s="10">
        <f ca="1">IF(tbl_BEP[[#This Row],[BB_Mean]]="", "", tbl_BEP[[#This Row],[BB_Mean]]+(BB_Width*tbl_BEP[[#This Row],[BB_Stdev]]))</f>
        <v>56.391061044332304</v>
      </c>
      <c r="L51" s="10">
        <f ca="1">IF(tbl_BEP[[#This Row],[BB_Mean]]="", "", tbl_BEP[[#This Row],[BB_Mean]]-(BB_Width*tbl_BEP[[#This Row],[BB_Stdev]]))</f>
        <v>48.64608181281055</v>
      </c>
      <c r="M51" s="46">
        <f>IF(ROW(tbl_BEP[[#This Row],[Adj Close]])=5, 0, $F51-$F50)</f>
        <v>0.43999999999999773</v>
      </c>
      <c r="N51" s="46">
        <f>MAX(tbl_BEP[[#This Row],[Move]],0)</f>
        <v>0.43999999999999773</v>
      </c>
      <c r="O51" s="46">
        <f>MAX(-tbl_BEP[[#This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0.98428571428571388</v>
      </c>
      <c r="Q51" s="46">
        <f ca="1">IF(ROW($O51)-5&lt;RSI_Periods, "", AVERAGE(INDIRECT(ADDRESS(ROW($O51)-RSI_Periods +1, MATCH("Downmove", Price_Header,0))): INDIRECT(ADDRESS(ROW($O51),MATCH("Downmove", Price_Header,0)))))</f>
        <v>0.35428571428571382</v>
      </c>
      <c r="R51" s="46">
        <f ca="1">IF(tbl_BEP[[#This Row],[Avg_Upmove]]="", "", tbl_BEP[[#This Row],[Avg_Upmove]]/tbl_BEP[[#This Row],[Avg_Downmove]])</f>
        <v>2.7782258064516157</v>
      </c>
      <c r="S51" s="10">
        <f ca="1">IF(ROW($N51)-4&lt;BB_Periods, "", _xlfn.STDEV.S(INDIRECT(ADDRESS(ROW($F51)-RSI_Periods +1, MATCH("Adj Close", Price_Header,0))): INDIRECT(ADDRESS(ROW($F51),MATCH("Adj Close", Price_Header,0)))))</f>
        <v>1.9362448078804375</v>
      </c>
    </row>
    <row r="52" spans="1:19" x14ac:dyDescent="0.35">
      <c r="A52" s="8">
        <v>44119</v>
      </c>
      <c r="B52" s="10">
        <v>53.17</v>
      </c>
      <c r="C52" s="10">
        <v>54.11</v>
      </c>
      <c r="D52" s="10">
        <v>52.62</v>
      </c>
      <c r="E52" s="10">
        <v>54</v>
      </c>
      <c r="F52" s="10">
        <v>54</v>
      </c>
      <c r="G52">
        <v>258200</v>
      </c>
      <c r="H52" s="10">
        <f>IF(tbl_BEP[[#This Row],[Date]]=$A$5, $F52, EMA_Beta*$H51 + (1-EMA_Beta)*$F52)</f>
        <v>51.471284853331063</v>
      </c>
      <c r="I52" s="46">
        <f ca="1">IF(tbl_BEP[[#This Row],[RS]]= "", "", 100-(100/(1+tbl_BEP[[#This Row],[RS]])))</f>
        <v>67.645221736414754</v>
      </c>
      <c r="J52" s="10">
        <f ca="1">IF(ROW($N52)-4&lt;BB_Periods, "", AVERAGE(INDIRECT(ADDRESS(ROW($F52)-RSI_Periods +1, MATCH("Adj Close", Price_Header,0))): INDIRECT(ADDRESS(ROW($F52),MATCH("Adj Close", Price_Header,0)))))</f>
        <v>52.922142857142852</v>
      </c>
      <c r="K52" s="10">
        <f ca="1">IF(tbl_BEP[[#This Row],[BB_Mean]]="", "", tbl_BEP[[#This Row],[BB_Mean]]+(BB_Width*tbl_BEP[[#This Row],[BB_Stdev]]))</f>
        <v>56.024253092464591</v>
      </c>
      <c r="L52" s="10">
        <f ca="1">IF(tbl_BEP[[#This Row],[BB_Mean]]="", "", tbl_BEP[[#This Row],[BB_Mean]]-(BB_Width*tbl_BEP[[#This Row],[BB_Stdev]]))</f>
        <v>49.820032621821113</v>
      </c>
      <c r="M52" s="46">
        <f>IF(ROW(tbl_BEP[[#This Row],[Adj Close]])=5, 0, $F52-$F51)</f>
        <v>-0.21999999999999886</v>
      </c>
      <c r="N52" s="46">
        <f>MAX(tbl_BEP[[#This Row],[Move]],0)</f>
        <v>0</v>
      </c>
      <c r="O52" s="46">
        <f>MAX(-tbl_BEP[[#This Row],[Move]],0)</f>
        <v>0.21999999999999886</v>
      </c>
      <c r="P52" s="46">
        <f ca="1">IF(ROW($N52)-5&lt;RSI_Periods, "", AVERAGE(INDIRECT(ADDRESS(ROW($N52)-RSI_Periods +1, MATCH("Upmove", Price_Header,0))): INDIRECT(ADDRESS(ROW($N52),MATCH("Upmove", Price_Header,0)))))</f>
        <v>0.77357142857142791</v>
      </c>
      <c r="Q52" s="46">
        <f ca="1">IF(ROW($O52)-5&lt;RSI_Periods, "", AVERAGE(INDIRECT(ADDRESS(ROW($O52)-RSI_Periods +1, MATCH("Downmove", Price_Header,0))): INDIRECT(ADDRESS(ROW($O52),MATCH("Downmove", Price_Header,0)))))</f>
        <v>0.3699999999999995</v>
      </c>
      <c r="R52" s="46">
        <f ca="1">IF(tbl_BEP[[#This Row],[Avg_Upmove]]="", "", tbl_BEP[[#This Row],[Avg_Upmove]]/tbl_BEP[[#This Row],[Avg_Downmove]])</f>
        <v>2.090733590733592</v>
      </c>
      <c r="S52" s="10">
        <f ca="1">IF(ROW($N52)-4&lt;BB_Periods, "", _xlfn.STDEV.S(INDIRECT(ADDRESS(ROW($F52)-RSI_Periods +1, MATCH("Adj Close", Price_Header,0))): INDIRECT(ADDRESS(ROW($F52),MATCH("Adj Close", Price_Header,0)))))</f>
        <v>1.55105511766087</v>
      </c>
    </row>
    <row r="53" spans="1:19" x14ac:dyDescent="0.35">
      <c r="A53" s="8">
        <v>44120</v>
      </c>
      <c r="B53" s="10">
        <v>54.6</v>
      </c>
      <c r="C53" s="10">
        <v>54.78</v>
      </c>
      <c r="D53" s="10">
        <v>53.78</v>
      </c>
      <c r="E53" s="10">
        <v>53.78</v>
      </c>
      <c r="F53" s="10">
        <v>53.78</v>
      </c>
      <c r="G53">
        <v>225400</v>
      </c>
      <c r="H53" s="10">
        <f>IF(tbl_BEP[[#This Row],[Date]]=$A$5, $F53, EMA_Beta*$H52 + (1-EMA_Beta)*$F53)</f>
        <v>51.702156367997958</v>
      </c>
      <c r="I53" s="46">
        <f ca="1">IF(tbl_BEP[[#This Row],[RS]]= "", "", 100-(100/(1+tbl_BEP[[#This Row],[RS]])))</f>
        <v>63.782696177062384</v>
      </c>
      <c r="J53" s="10">
        <f ca="1">IF(ROW($N53)-4&lt;BB_Periods, "", AVERAGE(INDIRECT(ADDRESS(ROW($F53)-RSI_Periods +1, MATCH("Adj Close", Price_Header,0))): INDIRECT(ADDRESS(ROW($F53),MATCH("Adj Close", Price_Header,0)))))</f>
        <v>53.215714285714284</v>
      </c>
      <c r="K53" s="10">
        <f ca="1">IF(tbl_BEP[[#This Row],[BB_Mean]]="", "", tbl_BEP[[#This Row],[BB_Mean]]+(BB_Width*tbl_BEP[[#This Row],[BB_Stdev]]))</f>
        <v>55.710505342613118</v>
      </c>
      <c r="L53" s="10">
        <f ca="1">IF(tbl_BEP[[#This Row],[BB_Mean]]="", "", tbl_BEP[[#This Row],[BB_Mean]]-(BB_Width*tbl_BEP[[#This Row],[BB_Stdev]]))</f>
        <v>50.720923228815451</v>
      </c>
      <c r="M53" s="46">
        <f>IF(ROW(tbl_BEP[[#This Row],[Adj Close]])=5, 0, $F53-$F52)</f>
        <v>-0.21999999999999886</v>
      </c>
      <c r="N53" s="46">
        <f>MAX(tbl_BEP[[#This Row],[Move]],0)</f>
        <v>0</v>
      </c>
      <c r="O53" s="46">
        <f>MAX(-tbl_BEP[[#This Row],[Move]],0)</f>
        <v>0.21999999999999886</v>
      </c>
      <c r="P53" s="46">
        <f ca="1">IF(ROW($N53)-5&lt;RSI_Periods, "", AVERAGE(INDIRECT(ADDRESS(ROW($N53)-RSI_Periods +1, MATCH("Upmove", Price_Header,0))): INDIRECT(ADDRESS(ROW($N53),MATCH("Upmove", Price_Header,0)))))</f>
        <v>0.6792857142857136</v>
      </c>
      <c r="Q53" s="46">
        <f ca="1">IF(ROW($O53)-5&lt;RSI_Periods, "", AVERAGE(INDIRECT(ADDRESS(ROW($O53)-RSI_Periods +1, MATCH("Downmove", Price_Header,0))): INDIRECT(ADDRESS(ROW($O53),MATCH("Downmove", Price_Header,0)))))</f>
        <v>0.38571428571428512</v>
      </c>
      <c r="R53" s="46">
        <f ca="1">IF(tbl_BEP[[#This Row],[Avg_Upmove]]="", "", tbl_BEP[[#This Row],[Avg_Upmove]]/tbl_BEP[[#This Row],[Avg_Downmove]])</f>
        <v>1.761111111111112</v>
      </c>
      <c r="S53" s="10">
        <f ca="1">IF(ROW($N53)-4&lt;BB_Periods, "", _xlfn.STDEV.S(INDIRECT(ADDRESS(ROW($F53)-RSI_Periods +1, MATCH("Adj Close", Price_Header,0))): INDIRECT(ADDRESS(ROW($F53),MATCH("Adj Close", Price_Header,0)))))</f>
        <v>1.2473955284494178</v>
      </c>
    </row>
    <row r="54" spans="1:19" x14ac:dyDescent="0.35">
      <c r="A54" s="8">
        <v>44123</v>
      </c>
      <c r="B54" s="10">
        <v>54.28</v>
      </c>
      <c r="C54" s="10">
        <v>54.94</v>
      </c>
      <c r="D54" s="10">
        <v>53.2</v>
      </c>
      <c r="E54" s="10">
        <v>53.43</v>
      </c>
      <c r="F54" s="10">
        <v>53.43</v>
      </c>
      <c r="G54">
        <v>247300</v>
      </c>
      <c r="H54" s="10">
        <f>IF(tbl_BEP[[#This Row],[Date]]=$A$5, $F54, EMA_Beta*$H53 + (1-EMA_Beta)*$F54)</f>
        <v>51.874940731198159</v>
      </c>
      <c r="I54" s="46">
        <f ca="1">IF(tbl_BEP[[#This Row],[RS]]= "", "", 100-(100/(1+tbl_BEP[[#This Row],[RS]])))</f>
        <v>59.363957597173155</v>
      </c>
      <c r="J54" s="10">
        <f ca="1">IF(ROW($N54)-4&lt;BB_Periods, "", AVERAGE(INDIRECT(ADDRESS(ROW($F54)-RSI_Periods +1, MATCH("Adj Close", Price_Header,0))): INDIRECT(ADDRESS(ROW($F54),MATCH("Adj Close", Price_Header,0)))))</f>
        <v>53.404999999999994</v>
      </c>
      <c r="K54" s="10">
        <f ca="1">IF(tbl_BEP[[#This Row],[BB_Mean]]="", "", tbl_BEP[[#This Row],[BB_Mean]]+(BB_Width*tbl_BEP[[#This Row],[BB_Stdev]]))</f>
        <v>55.468570468126309</v>
      </c>
      <c r="L54" s="10">
        <f ca="1">IF(tbl_BEP[[#This Row],[BB_Mean]]="", "", tbl_BEP[[#This Row],[BB_Mean]]-(BB_Width*tbl_BEP[[#This Row],[BB_Stdev]]))</f>
        <v>51.341429531873679</v>
      </c>
      <c r="M54" s="46">
        <f>IF(ROW(tbl_BEP[[#This Row],[Adj Close]])=5, 0, $F54-$F53)</f>
        <v>-0.35000000000000142</v>
      </c>
      <c r="N54" s="46">
        <f>MAX(tbl_BEP[[#This Row],[Move]],0)</f>
        <v>0</v>
      </c>
      <c r="O54" s="46">
        <f>MAX(-tbl_BEP[[#This Row],[Move]],0)</f>
        <v>0.35000000000000142</v>
      </c>
      <c r="P54" s="46">
        <f ca="1">IF(ROW($N54)-5&lt;RSI_Periods, "", AVERAGE(INDIRECT(ADDRESS(ROW($N54)-RSI_Periods +1, MATCH("Upmove", Price_Header,0))): INDIRECT(ADDRESS(ROW($N54),MATCH("Upmove", Price_Header,0)))))</f>
        <v>0.59999999999999942</v>
      </c>
      <c r="Q54" s="46">
        <f ca="1">IF(ROW($O54)-5&lt;RSI_Periods, "", AVERAGE(INDIRECT(ADDRESS(ROW($O54)-RSI_Periods +1, MATCH("Downmove", Price_Header,0))): INDIRECT(ADDRESS(ROW($O54),MATCH("Downmove", Price_Header,0)))))</f>
        <v>0.4107142857142852</v>
      </c>
      <c r="R54" s="46">
        <f ca="1">IF(tbl_BEP[[#This Row],[Avg_Upmove]]="", "", tbl_BEP[[#This Row],[Avg_Upmove]]/tbl_BEP[[#This Row],[Avg_Downmove]])</f>
        <v>1.4608695652173918</v>
      </c>
      <c r="S54" s="10">
        <f ca="1">IF(ROW($N54)-4&lt;BB_Periods, "", _xlfn.STDEV.S(INDIRECT(ADDRESS(ROW($F54)-RSI_Periods +1, MATCH("Adj Close", Price_Header,0))): INDIRECT(ADDRESS(ROW($F54),MATCH("Adj Close", Price_Header,0)))))</f>
        <v>1.0317852340631588</v>
      </c>
    </row>
    <row r="55" spans="1:19" x14ac:dyDescent="0.35">
      <c r="A55" s="8">
        <v>44124</v>
      </c>
      <c r="B55" s="10">
        <v>53.87</v>
      </c>
      <c r="C55" s="10">
        <v>53.93</v>
      </c>
      <c r="D55" s="10">
        <v>53.25</v>
      </c>
      <c r="E55" s="10">
        <v>53.64</v>
      </c>
      <c r="F55" s="10">
        <v>53.64</v>
      </c>
      <c r="G55">
        <v>219500</v>
      </c>
      <c r="H55" s="10">
        <f>IF(tbl_BEP[[#This Row],[Date]]=$A$5, $F55, EMA_Beta*$H54 + (1-EMA_Beta)*$F55)</f>
        <v>52.051446658078341</v>
      </c>
      <c r="I55" s="46">
        <f ca="1">IF(tbl_BEP[[#This Row],[RS]]= "", "", 100-(100/(1+tbl_BEP[[#This Row],[RS]])))</f>
        <v>54.328832406671971</v>
      </c>
      <c r="J55" s="10">
        <f ca="1">IF(ROW($N55)-4&lt;BB_Periods, "", AVERAGE(INDIRECT(ADDRESS(ROW($F55)-RSI_Periods +1, MATCH("Adj Close", Price_Header,0))): INDIRECT(ADDRESS(ROW($F55),MATCH("Adj Close", Price_Header,0)))))</f>
        <v>53.482857142857135</v>
      </c>
      <c r="K55" s="10">
        <f ca="1">IF(tbl_BEP[[#This Row],[BB_Mean]]="", "", tbl_BEP[[#This Row],[BB_Mean]]+(BB_Width*tbl_BEP[[#This Row],[BB_Stdev]]))</f>
        <v>55.488916096993954</v>
      </c>
      <c r="L55" s="10">
        <f ca="1">IF(tbl_BEP[[#This Row],[BB_Mean]]="", "", tbl_BEP[[#This Row],[BB_Mean]]-(BB_Width*tbl_BEP[[#This Row],[BB_Stdev]]))</f>
        <v>51.476798188720316</v>
      </c>
      <c r="M55" s="46">
        <f>IF(ROW(tbl_BEP[[#This Row],[Adj Close]])=5, 0, $F55-$F54)</f>
        <v>0.21000000000000085</v>
      </c>
      <c r="N55" s="46">
        <f>MAX(tbl_BEP[[#This Row],[Move]],0)</f>
        <v>0.21000000000000085</v>
      </c>
      <c r="O55" s="46">
        <f>MAX(-tbl_BEP[[#This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0.48857142857142832</v>
      </c>
      <c r="Q55" s="46">
        <f ca="1">IF(ROW($O55)-5&lt;RSI_Periods, "", AVERAGE(INDIRECT(ADDRESS(ROW($O55)-RSI_Periods +1, MATCH("Downmove", Price_Header,0))): INDIRECT(ADDRESS(ROW($O55),MATCH("Downmove", Price_Header,0)))))</f>
        <v>0.4107142857142852</v>
      </c>
      <c r="R55" s="46">
        <f ca="1">IF(tbl_BEP[[#This Row],[Avg_Upmove]]="", "", tbl_BEP[[#This Row],[Avg_Upmove]]/tbl_BEP[[#This Row],[Avg_Downmove]])</f>
        <v>1.1895652173913052</v>
      </c>
      <c r="S55" s="10">
        <f ca="1">IF(ROW($N55)-4&lt;BB_Periods, "", _xlfn.STDEV.S(INDIRECT(ADDRESS(ROW($F55)-RSI_Periods +1, MATCH("Adj Close", Price_Header,0))): INDIRECT(ADDRESS(ROW($F55),MATCH("Adj Close", Price_Header,0)))))</f>
        <v>1.0030294770684109</v>
      </c>
    </row>
    <row r="56" spans="1:19" x14ac:dyDescent="0.35">
      <c r="A56" s="8">
        <v>44125</v>
      </c>
      <c r="B56" s="10">
        <v>53.7</v>
      </c>
      <c r="C56" s="10">
        <v>53.7</v>
      </c>
      <c r="D56" s="10">
        <v>53.03</v>
      </c>
      <c r="E56" s="10">
        <v>53.3</v>
      </c>
      <c r="F56" s="10">
        <v>53.3</v>
      </c>
      <c r="G56">
        <v>191000</v>
      </c>
      <c r="H56" s="10">
        <f>IF(tbl_BEP[[#This Row],[Date]]=$A$5, $F56, EMA_Beta*$H55 + (1-EMA_Beta)*$F56)</f>
        <v>52.176301992270503</v>
      </c>
      <c r="I56" s="46">
        <f ca="1">IF(tbl_BEP[[#This Row],[RS]]= "", "", 100-(100/(1+tbl_BEP[[#This Row],[RS]])))</f>
        <v>47.725321888412012</v>
      </c>
      <c r="J56" s="10">
        <f ca="1">IF(ROW($N56)-4&lt;BB_Periods, "", AVERAGE(INDIRECT(ADDRESS(ROW($F56)-RSI_Periods +1, MATCH("Adj Close", Price_Header,0))): INDIRECT(ADDRESS(ROW($F56),MATCH("Adj Close", Price_Header,0)))))</f>
        <v>53.444999999999993</v>
      </c>
      <c r="K56" s="10">
        <f ca="1">IF(tbl_BEP[[#This Row],[BB_Mean]]="", "", tbl_BEP[[#This Row],[BB_Mean]]+(BB_Width*tbl_BEP[[#This Row],[BB_Stdev]]))</f>
        <v>55.442825741226613</v>
      </c>
      <c r="L56" s="10">
        <f ca="1">IF(tbl_BEP[[#This Row],[BB_Mean]]="", "", tbl_BEP[[#This Row],[BB_Mean]]-(BB_Width*tbl_BEP[[#This Row],[BB_Stdev]]))</f>
        <v>51.447174258773373</v>
      </c>
      <c r="M56" s="46">
        <f>IF(ROW(tbl_BEP[[#This Row],[Adj Close]])=5, 0, $F56-$F55)</f>
        <v>-0.34000000000000341</v>
      </c>
      <c r="N56" s="46">
        <f>MAX(tbl_BEP[[#This Row],[Move]],0)</f>
        <v>0</v>
      </c>
      <c r="O56" s="46">
        <f>MAX(-tbl_BEP[[#This Row],[Move]],0)</f>
        <v>0.34000000000000341</v>
      </c>
      <c r="P56" s="46">
        <f ca="1">IF(ROW($N56)-5&lt;RSI_Periods, "", AVERAGE(INDIRECT(ADDRESS(ROW($N56)-RSI_Periods +1, MATCH("Upmove", Price_Header,0))): INDIRECT(ADDRESS(ROW($N56),MATCH("Upmove", Price_Header,0)))))</f>
        <v>0.3971428571428568</v>
      </c>
      <c r="Q56" s="46">
        <f ca="1">IF(ROW($O56)-5&lt;RSI_Periods, "", AVERAGE(INDIRECT(ADDRESS(ROW($O56)-RSI_Periods +1, MATCH("Downmove", Price_Header,0))): INDIRECT(ADDRESS(ROW($O56),MATCH("Downmove", Price_Header,0)))))</f>
        <v>0.43499999999999972</v>
      </c>
      <c r="R56" s="46">
        <f ca="1">IF(tbl_BEP[[#This Row],[Avg_Upmove]]="", "", tbl_BEP[[#This Row],[Avg_Upmove]]/tbl_BEP[[#This Row],[Avg_Downmove]])</f>
        <v>0.91297208538587826</v>
      </c>
      <c r="S56" s="10">
        <f ca="1">IF(ROW($N56)-4&lt;BB_Periods, "", _xlfn.STDEV.S(INDIRECT(ADDRESS(ROW($F56)-RSI_Periods +1, MATCH("Adj Close", Price_Header,0))): INDIRECT(ADDRESS(ROW($F56),MATCH("Adj Close", Price_Header,0)))))</f>
        <v>0.99891287061330891</v>
      </c>
    </row>
    <row r="57" spans="1:19" x14ac:dyDescent="0.35">
      <c r="A57" s="8">
        <v>44126</v>
      </c>
      <c r="B57" s="10">
        <v>53.24</v>
      </c>
      <c r="C57" s="10">
        <v>53.5</v>
      </c>
      <c r="D57" s="10">
        <v>52.86</v>
      </c>
      <c r="E57" s="10">
        <v>53.33</v>
      </c>
      <c r="F57" s="10">
        <v>53.33</v>
      </c>
      <c r="G57">
        <v>280000</v>
      </c>
      <c r="H57" s="10">
        <f>IF(tbl_BEP[[#This Row],[Date]]=$A$5, $F57, EMA_Beta*$H56 + (1-EMA_Beta)*$F57)</f>
        <v>52.291671793043449</v>
      </c>
      <c r="I57" s="46">
        <f ca="1">IF(tbl_BEP[[#This Row],[RS]]= "", "", 100-(100/(1+tbl_BEP[[#This Row],[RS]])))</f>
        <v>48.735832606800351</v>
      </c>
      <c r="J57" s="10">
        <f ca="1">IF(ROW($N57)-4&lt;BB_Periods, "", AVERAGE(INDIRECT(ADDRESS(ROW($F57)-RSI_Periods +1, MATCH("Adj Close", Price_Header,0))): INDIRECT(ADDRESS(ROW($F57),MATCH("Adj Close", Price_Header,0)))))</f>
        <v>53.424285714285709</v>
      </c>
      <c r="K57" s="10">
        <f ca="1">IF(tbl_BEP[[#This Row],[BB_Mean]]="", "", tbl_BEP[[#This Row],[BB_Mean]]+(BB_Width*tbl_BEP[[#This Row],[BB_Stdev]]))</f>
        <v>55.420308132623113</v>
      </c>
      <c r="L57" s="10">
        <f ca="1">IF(tbl_BEP[[#This Row],[BB_Mean]]="", "", tbl_BEP[[#This Row],[BB_Mean]]-(BB_Width*tbl_BEP[[#This Row],[BB_Stdev]]))</f>
        <v>51.428263295948305</v>
      </c>
      <c r="M57" s="46">
        <f>IF(ROW(tbl_BEP[[#This Row],[Adj Close]])=5, 0, $F57-$F56)</f>
        <v>3.0000000000001137E-2</v>
      </c>
      <c r="N57" s="46">
        <f>MAX(tbl_BEP[[#This Row],[Move]],0)</f>
        <v>3.0000000000001137E-2</v>
      </c>
      <c r="O57" s="46">
        <f>MAX(-tbl_BEP[[#This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0.39928571428571402</v>
      </c>
      <c r="Q57" s="46">
        <f ca="1">IF(ROW($O57)-5&lt;RSI_Periods, "", AVERAGE(INDIRECT(ADDRESS(ROW($O57)-RSI_Periods +1, MATCH("Downmove", Price_Header,0))): INDIRECT(ADDRESS(ROW($O57),MATCH("Downmove", Price_Header,0)))))</f>
        <v>0.41999999999999965</v>
      </c>
      <c r="R57" s="46">
        <f ca="1">IF(tbl_BEP[[#This Row],[Avg_Upmove]]="", "", tbl_BEP[[#This Row],[Avg_Upmove]]/tbl_BEP[[#This Row],[Avg_Downmove]])</f>
        <v>0.95068027210884365</v>
      </c>
      <c r="S57" s="10">
        <f ca="1">IF(ROW($N57)-4&lt;BB_Periods, "", _xlfn.STDEV.S(INDIRECT(ADDRESS(ROW($F57)-RSI_Periods +1, MATCH("Adj Close", Price_Header,0))): INDIRECT(ADDRESS(ROW($F57),MATCH("Adj Close", Price_Header,0)))))</f>
        <v>0.99801120916870056</v>
      </c>
    </row>
    <row r="58" spans="1:19" x14ac:dyDescent="0.35">
      <c r="A58" s="8">
        <v>44127</v>
      </c>
      <c r="B58" s="10">
        <v>53.67</v>
      </c>
      <c r="C58" s="10">
        <v>53.76</v>
      </c>
      <c r="D58" s="10">
        <v>52.45</v>
      </c>
      <c r="E58" s="10">
        <v>53.18</v>
      </c>
      <c r="F58" s="10">
        <v>53.18</v>
      </c>
      <c r="G58">
        <v>370400</v>
      </c>
      <c r="H58" s="10">
        <f>IF(tbl_BEP[[#This Row],[Date]]=$A$5, $F58, EMA_Beta*$H57 + (1-EMA_Beta)*$F58)</f>
        <v>52.380504613739106</v>
      </c>
      <c r="I58" s="46">
        <f ca="1">IF(tbl_BEP[[#This Row],[RS]]= "", "", 100-(100/(1+tbl_BEP[[#This Row],[RS]])))</f>
        <v>36.924686192468606</v>
      </c>
      <c r="J58" s="10">
        <f ca="1">IF(ROW($N58)-4&lt;BB_Periods, "", AVERAGE(INDIRECT(ADDRESS(ROW($F58)-RSI_Periods +1, MATCH("Adj Close", Price_Header,0))): INDIRECT(ADDRESS(ROW($F58),MATCH("Adj Close", Price_Header,0)))))</f>
        <v>53.245714285714278</v>
      </c>
      <c r="K58" s="10">
        <f ca="1">IF(tbl_BEP[[#This Row],[BB_Mean]]="", "", tbl_BEP[[#This Row],[BB_Mean]]+(BB_Width*tbl_BEP[[#This Row],[BB_Stdev]]))</f>
        <v>54.762121259415636</v>
      </c>
      <c r="L58" s="10">
        <f ca="1">IF(tbl_BEP[[#This Row],[BB_Mean]]="", "", tbl_BEP[[#This Row],[BB_Mean]]-(BB_Width*tbl_BEP[[#This Row],[BB_Stdev]]))</f>
        <v>51.729307312012921</v>
      </c>
      <c r="M58" s="46">
        <f>IF(ROW(tbl_BEP[[#This Row],[Adj Close]])=5, 0, $F58-$F57)</f>
        <v>-0.14999999999999858</v>
      </c>
      <c r="N58" s="46">
        <f>MAX(tbl_BEP[[#This Row],[Move]],0)</f>
        <v>0</v>
      </c>
      <c r="O58" s="46">
        <f>MAX(-tbl_BEP[[#This Row],[Move]],0)</f>
        <v>0.14999999999999858</v>
      </c>
      <c r="P58" s="46">
        <f ca="1">IF(ROW($N58)-5&lt;RSI_Periods, "", AVERAGE(INDIRECT(ADDRESS(ROW($N58)-RSI_Periods +1, MATCH("Upmove", Price_Header,0))): INDIRECT(ADDRESS(ROW($N58),MATCH("Upmove", Price_Header,0)))))</f>
        <v>0.25214285714285672</v>
      </c>
      <c r="Q58" s="46">
        <f ca="1">IF(ROW($O58)-5&lt;RSI_Periods, "", AVERAGE(INDIRECT(ADDRESS(ROW($O58)-RSI_Periods +1, MATCH("Downmove", Price_Header,0))): INDIRECT(ADDRESS(ROW($O58),MATCH("Downmove", Price_Header,0)))))</f>
        <v>0.43071428571428527</v>
      </c>
      <c r="R58" s="46">
        <f ca="1">IF(tbl_BEP[[#This Row],[Avg_Upmove]]="", "", tbl_BEP[[#This Row],[Avg_Upmove]]/tbl_BEP[[#This Row],[Avg_Downmove]])</f>
        <v>0.58540630182421194</v>
      </c>
      <c r="S58" s="10">
        <f ca="1">IF(ROW($N58)-4&lt;BB_Periods, "", _xlfn.STDEV.S(INDIRECT(ADDRESS(ROW($F58)-RSI_Periods +1, MATCH("Adj Close", Price_Header,0))): INDIRECT(ADDRESS(ROW($F58),MATCH("Adj Close", Price_Header,0)))))</f>
        <v>0.75820348685067784</v>
      </c>
    </row>
    <row r="59" spans="1:19" x14ac:dyDescent="0.35">
      <c r="A59" s="8">
        <v>44130</v>
      </c>
      <c r="B59" s="10">
        <v>53.87</v>
      </c>
      <c r="C59" s="10">
        <v>54.09</v>
      </c>
      <c r="D59" s="10">
        <v>52.23</v>
      </c>
      <c r="E59" s="10">
        <v>53.17</v>
      </c>
      <c r="F59" s="10">
        <v>53.17</v>
      </c>
      <c r="G59">
        <v>380000</v>
      </c>
      <c r="H59" s="10">
        <f>IF(tbl_BEP[[#This Row],[Date]]=$A$5, $F59, EMA_Beta*$H58 + (1-EMA_Beta)*$F59)</f>
        <v>52.459454152365197</v>
      </c>
      <c r="I59" s="46">
        <f ca="1">IF(tbl_BEP[[#This Row],[RS]]= "", "", 100-(100/(1+tbl_BEP[[#This Row],[RS]])))</f>
        <v>53.003003003003002</v>
      </c>
      <c r="J59" s="10">
        <f ca="1">IF(ROW($N59)-4&lt;BB_Periods, "", AVERAGE(INDIRECT(ADDRESS(ROW($F59)-RSI_Periods +1, MATCH("Adj Close", Price_Header,0))): INDIRECT(ADDRESS(ROW($F59),MATCH("Adj Close", Price_Header,0)))))</f>
        <v>53.27428571428571</v>
      </c>
      <c r="K59" s="10">
        <f ca="1">IF(tbl_BEP[[#This Row],[BB_Mean]]="", "", tbl_BEP[[#This Row],[BB_Mean]]+(BB_Width*tbl_BEP[[#This Row],[BB_Stdev]]))</f>
        <v>54.766969704454254</v>
      </c>
      <c r="L59" s="10">
        <f ca="1">IF(tbl_BEP[[#This Row],[BB_Mean]]="", "", tbl_BEP[[#This Row],[BB_Mean]]-(BB_Width*tbl_BEP[[#This Row],[BB_Stdev]]))</f>
        <v>51.781601724117166</v>
      </c>
      <c r="M59" s="46">
        <f>IF(ROW(tbl_BEP[[#This Row],[Adj Close]])=5, 0, $F59-$F58)</f>
        <v>-9.9999999999980105E-3</v>
      </c>
      <c r="N59" s="46">
        <f>MAX(tbl_BEP[[#This Row],[Move]],0)</f>
        <v>0</v>
      </c>
      <c r="O59" s="46">
        <f>MAX(-tbl_BEP[[#This Row],[Move]],0)</f>
        <v>9.9999999999980105E-3</v>
      </c>
      <c r="P59" s="46">
        <f ca="1">IF(ROW($N59)-5&lt;RSI_Periods, "", AVERAGE(INDIRECT(ADDRESS(ROW($N59)-RSI_Periods +1, MATCH("Upmove", Price_Header,0))): INDIRECT(ADDRESS(ROW($N59),MATCH("Upmove", Price_Header,0)))))</f>
        <v>0.25214285714285672</v>
      </c>
      <c r="Q59" s="46">
        <f ca="1">IF(ROW($O59)-5&lt;RSI_Periods, "", AVERAGE(INDIRECT(ADDRESS(ROW($O59)-RSI_Periods +1, MATCH("Downmove", Price_Header,0))): INDIRECT(ADDRESS(ROW($O59),MATCH("Downmove", Price_Header,0)))))</f>
        <v>0.22357142857142825</v>
      </c>
      <c r="R59" s="46">
        <f ca="1">IF(tbl_BEP[[#This Row],[Avg_Upmove]]="", "", tbl_BEP[[#This Row],[Avg_Upmove]]/tbl_BEP[[#This Row],[Avg_Downmove]])</f>
        <v>1.1277955271565492</v>
      </c>
      <c r="S59" s="10">
        <f ca="1">IF(ROW($N59)-4&lt;BB_Periods, "", _xlfn.STDEV.S(INDIRECT(ADDRESS(ROW($F59)-RSI_Periods +1, MATCH("Adj Close", Price_Header,0))): INDIRECT(ADDRESS(ROW($F59),MATCH("Adj Close", Price_Header,0)))))</f>
        <v>0.74634199508427257</v>
      </c>
    </row>
    <row r="60" spans="1:19" x14ac:dyDescent="0.35">
      <c r="A60" s="8">
        <v>44131</v>
      </c>
      <c r="B60" s="10">
        <v>53.5</v>
      </c>
      <c r="C60" s="10">
        <v>53.95</v>
      </c>
      <c r="D60" s="10">
        <v>53.05</v>
      </c>
      <c r="E60" s="10">
        <v>53.68</v>
      </c>
      <c r="F60" s="10">
        <v>53.68</v>
      </c>
      <c r="G60">
        <v>215700</v>
      </c>
      <c r="H60" s="10">
        <f>IF(tbl_BEP[[#This Row],[Date]]=$A$5, $F60, EMA_Beta*$H59 + (1-EMA_Beta)*$F60)</f>
        <v>52.581508737128672</v>
      </c>
      <c r="I60" s="46">
        <f ca="1">IF(tbl_BEP[[#This Row],[RS]]= "", "", 100-(100/(1+tbl_BEP[[#This Row],[RS]])))</f>
        <v>54.172767203513907</v>
      </c>
      <c r="J60" s="10">
        <f ca="1">IF(ROW($N60)-4&lt;BB_Periods, "", AVERAGE(INDIRECT(ADDRESS(ROW($F60)-RSI_Periods +1, MATCH("Adj Close", Price_Header,0))): INDIRECT(ADDRESS(ROW($F60),MATCH("Adj Close", Price_Header,0)))))</f>
        <v>53.314999999999991</v>
      </c>
      <c r="K60" s="10">
        <f ca="1">IF(tbl_BEP[[#This Row],[BB_Mean]]="", "", tbl_BEP[[#This Row],[BB_Mean]]+(BB_Width*tbl_BEP[[#This Row],[BB_Stdev]]))</f>
        <v>54.819429357699342</v>
      </c>
      <c r="L60" s="10">
        <f ca="1">IF(tbl_BEP[[#This Row],[BB_Mean]]="", "", tbl_BEP[[#This Row],[BB_Mean]]-(BB_Width*tbl_BEP[[#This Row],[BB_Stdev]]))</f>
        <v>51.81057064230064</v>
      </c>
      <c r="M60" s="46">
        <f>IF(ROW(tbl_BEP[[#This Row],[Adj Close]])=5, 0, $F60-$F59)</f>
        <v>0.50999999999999801</v>
      </c>
      <c r="N60" s="46">
        <f>MAX(tbl_BEP[[#This Row],[Move]],0)</f>
        <v>0.50999999999999801</v>
      </c>
      <c r="O60" s="46">
        <f>MAX(-tbl_BEP[[#This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0.26428571428571396</v>
      </c>
      <c r="Q60" s="46">
        <f ca="1">IF(ROW($O60)-5&lt;RSI_Periods, "", AVERAGE(INDIRECT(ADDRESS(ROW($O60)-RSI_Periods +1, MATCH("Downmove", Price_Header,0))): INDIRECT(ADDRESS(ROW($O60),MATCH("Downmove", Price_Header,0)))))</f>
        <v>0.22357142857142825</v>
      </c>
      <c r="R60" s="46">
        <f ca="1">IF(tbl_BEP[[#This Row],[Avg_Upmove]]="", "", tbl_BEP[[#This Row],[Avg_Upmove]]/tbl_BEP[[#This Row],[Avg_Downmove]])</f>
        <v>1.1821086261980833</v>
      </c>
      <c r="S60" s="10">
        <f ca="1">IF(ROW($N60)-4&lt;BB_Periods, "", _xlfn.STDEV.S(INDIRECT(ADDRESS(ROW($F60)-RSI_Periods +1, MATCH("Adj Close", Price_Header,0))): INDIRECT(ADDRESS(ROW($F60),MATCH("Adj Close", Price_Header,0)))))</f>
        <v>0.7522146788496763</v>
      </c>
    </row>
    <row r="61" spans="1:19" x14ac:dyDescent="0.35">
      <c r="A61" s="8">
        <v>44132</v>
      </c>
      <c r="B61" s="10">
        <v>53.01</v>
      </c>
      <c r="C61" s="10">
        <v>53.21</v>
      </c>
      <c r="D61" s="10">
        <v>52.3</v>
      </c>
      <c r="E61" s="10">
        <v>52.77</v>
      </c>
      <c r="F61" s="10">
        <v>52.77</v>
      </c>
      <c r="G61">
        <v>314100</v>
      </c>
      <c r="H61" s="10">
        <f>IF(tbl_BEP[[#This Row],[Date]]=$A$5, $F61, EMA_Beta*$H60 + (1-EMA_Beta)*$F61)</f>
        <v>52.600357863415809</v>
      </c>
      <c r="I61" s="46">
        <f ca="1">IF(tbl_BEP[[#This Row],[RS]]= "", "", 100-(100/(1+tbl_BEP[[#This Row],[RS]])))</f>
        <v>62.711864406779675</v>
      </c>
      <c r="J61" s="10">
        <f ca="1">IF(ROW($N61)-4&lt;BB_Periods, "", AVERAGE(INDIRECT(ADDRESS(ROW($F61)-RSI_Periods +1, MATCH("Adj Close", Price_Header,0))): INDIRECT(ADDRESS(ROW($F61),MATCH("Adj Close", Price_Header,0)))))</f>
        <v>53.422142857142845</v>
      </c>
      <c r="K61" s="10">
        <f ca="1">IF(tbl_BEP[[#This Row],[BB_Mean]]="", "", tbl_BEP[[#This Row],[BB_Mean]]+(BB_Width*tbl_BEP[[#This Row],[BB_Stdev]]))</f>
        <v>54.431336856070963</v>
      </c>
      <c r="L61" s="10">
        <f ca="1">IF(tbl_BEP[[#This Row],[BB_Mean]]="", "", tbl_BEP[[#This Row],[BB_Mean]]-(BB_Width*tbl_BEP[[#This Row],[BB_Stdev]]))</f>
        <v>52.412948858214726</v>
      </c>
      <c r="M61" s="46">
        <f>IF(ROW(tbl_BEP[[#This Row],[Adj Close]])=5, 0, $F61-$F60)</f>
        <v>-0.90999999999999659</v>
      </c>
      <c r="N61" s="46">
        <f>MAX(tbl_BEP[[#This Row],[Move]],0)</f>
        <v>0</v>
      </c>
      <c r="O61" s="46">
        <f>MAX(-tbl_BEP[[#This Row],[Move]],0)</f>
        <v>0.90999999999999659</v>
      </c>
      <c r="P61" s="46">
        <f ca="1">IF(ROW($N61)-5&lt;RSI_Periods, "", AVERAGE(INDIRECT(ADDRESS(ROW($N61)-RSI_Periods +1, MATCH("Upmove", Price_Header,0))): INDIRECT(ADDRESS(ROW($N61),MATCH("Upmove", Price_Header,0)))))</f>
        <v>0.26428571428571396</v>
      </c>
      <c r="Q61" s="46">
        <f ca="1">IF(ROW($O61)-5&lt;RSI_Periods, "", AVERAGE(INDIRECT(ADDRESS(ROW($O61)-RSI_Periods +1, MATCH("Downmove", Price_Header,0))): INDIRECT(ADDRESS(ROW($O61),MATCH("Downmove", Price_Header,0)))))</f>
        <v>0.15714285714285683</v>
      </c>
      <c r="R61" s="46">
        <f ca="1">IF(tbl_BEP[[#This Row],[Avg_Upmove]]="", "", tbl_BEP[[#This Row],[Avg_Upmove]]/tbl_BEP[[#This Row],[Avg_Downmove]])</f>
        <v>1.681818181818183</v>
      </c>
      <c r="S61" s="10">
        <f ca="1">IF(ROW($N61)-4&lt;BB_Periods, "", _xlfn.STDEV.S(INDIRECT(ADDRESS(ROW($F61)-RSI_Periods +1, MATCH("Adj Close", Price_Header,0))): INDIRECT(ADDRESS(ROW($F61),MATCH("Adj Close", Price_Header,0)))))</f>
        <v>0.50459699946405867</v>
      </c>
    </row>
    <row r="62" spans="1:19" x14ac:dyDescent="0.35">
      <c r="A62" s="8">
        <v>44133</v>
      </c>
      <c r="B62" s="10">
        <v>52.86</v>
      </c>
      <c r="C62" s="10">
        <v>54.56</v>
      </c>
      <c r="D62" s="10">
        <v>52.79</v>
      </c>
      <c r="E62" s="10">
        <v>54.46</v>
      </c>
      <c r="F62" s="10">
        <v>54.46</v>
      </c>
      <c r="G62">
        <v>196300</v>
      </c>
      <c r="H62" s="10">
        <f>IF(tbl_BEP[[#This Row],[Date]]=$A$5, $F62, EMA_Beta*$H61 + (1-EMA_Beta)*$F62)</f>
        <v>52.786322077074225</v>
      </c>
      <c r="I62" s="46">
        <f ca="1">IF(tbl_BEP[[#This Row],[RS]]= "", "", 100-(100/(1+tbl_BEP[[#This Row],[RS]])))</f>
        <v>66.767371601208481</v>
      </c>
      <c r="J62" s="10">
        <f ca="1">IF(ROW($N62)-4&lt;BB_Periods, "", AVERAGE(INDIRECT(ADDRESS(ROW($F62)-RSI_Periods +1, MATCH("Adj Close", Price_Header,0))): INDIRECT(ADDRESS(ROW($F62),MATCH("Adj Close", Price_Header,0)))))</f>
        <v>53.580714285714279</v>
      </c>
      <c r="K62" s="10">
        <f ca="1">IF(tbl_BEP[[#This Row],[BB_Mean]]="", "", tbl_BEP[[#This Row],[BB_Mean]]+(BB_Width*tbl_BEP[[#This Row],[BB_Stdev]]))</f>
        <v>54.48160151628079</v>
      </c>
      <c r="L62" s="10">
        <f ca="1">IF(tbl_BEP[[#This Row],[BB_Mean]]="", "", tbl_BEP[[#This Row],[BB_Mean]]-(BB_Width*tbl_BEP[[#This Row],[BB_Stdev]]))</f>
        <v>52.679827055147769</v>
      </c>
      <c r="M62" s="46">
        <f>IF(ROW(tbl_BEP[[#This Row],[Adj Close]])=5, 0, $F62-$F61)</f>
        <v>1.6899999999999977</v>
      </c>
      <c r="N62" s="46">
        <f>MAX(tbl_BEP[[#This Row],[Move]],0)</f>
        <v>1.6899999999999977</v>
      </c>
      <c r="O62" s="46">
        <f>MAX(-tbl_BEP[[#This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0.31571428571428534</v>
      </c>
      <c r="Q62" s="46">
        <f ca="1">IF(ROW($O62)-5&lt;RSI_Periods, "", AVERAGE(INDIRECT(ADDRESS(ROW($O62)-RSI_Periods +1, MATCH("Downmove", Price_Header,0))): INDIRECT(ADDRESS(ROW($O62),MATCH("Downmove", Price_Header,0)))))</f>
        <v>0.15714285714285683</v>
      </c>
      <c r="R62" s="46">
        <f ca="1">IF(tbl_BEP[[#This Row],[Avg_Upmove]]="", "", tbl_BEP[[#This Row],[Avg_Upmove]]/tbl_BEP[[#This Row],[Avg_Downmove]])</f>
        <v>2.0090909090909106</v>
      </c>
      <c r="S62" s="10">
        <f ca="1">IF(ROW($N62)-4&lt;BB_Periods, "", _xlfn.STDEV.S(INDIRECT(ADDRESS(ROW($F62)-RSI_Periods +1, MATCH("Adj Close", Price_Header,0))): INDIRECT(ADDRESS(ROW($F62),MATCH("Adj Close", Price_Header,0)))))</f>
        <v>0.45044361528325644</v>
      </c>
    </row>
    <row r="63" spans="1:19" x14ac:dyDescent="0.35">
      <c r="A63" s="8">
        <v>44134</v>
      </c>
      <c r="B63" s="10">
        <v>54.45</v>
      </c>
      <c r="C63" s="10">
        <v>54.7</v>
      </c>
      <c r="D63" s="10">
        <v>53.76</v>
      </c>
      <c r="E63" s="10">
        <v>54.25</v>
      </c>
      <c r="F63" s="10">
        <v>54.25</v>
      </c>
      <c r="G63">
        <v>229900</v>
      </c>
      <c r="H63" s="10">
        <f>IF(tbl_BEP[[#This Row],[Date]]=$A$5, $F63, EMA_Beta*$H62 + (1-EMA_Beta)*$F63)</f>
        <v>52.932689869366797</v>
      </c>
      <c r="I63" s="46">
        <f ca="1">IF(tbl_BEP[[#This Row],[RS]]= "", "", 100-(100/(1+tbl_BEP[[#This Row],[RS]])))</f>
        <v>57.570422535211279</v>
      </c>
      <c r="J63" s="10">
        <f ca="1">IF(ROW($N63)-4&lt;BB_Periods, "", AVERAGE(INDIRECT(ADDRESS(ROW($F63)-RSI_Periods +1, MATCH("Adj Close", Price_Header,0))): INDIRECT(ADDRESS(ROW($F63),MATCH("Adj Close", Price_Header,0)))))</f>
        <v>53.642142857142851</v>
      </c>
      <c r="K63" s="10">
        <f ca="1">IF(tbl_BEP[[#This Row],[BB_Mean]]="", "", tbl_BEP[[#This Row],[BB_Mean]]+(BB_Width*tbl_BEP[[#This Row],[BB_Stdev]]))</f>
        <v>54.602340867857421</v>
      </c>
      <c r="L63" s="10">
        <f ca="1">IF(tbl_BEP[[#This Row],[BB_Mean]]="", "", tbl_BEP[[#This Row],[BB_Mean]]-(BB_Width*tbl_BEP[[#This Row],[BB_Stdev]]))</f>
        <v>52.68194484642828</v>
      </c>
      <c r="M63" s="46">
        <f>IF(ROW(tbl_BEP[[#This Row],[Adj Close]])=5, 0, $F63-$F62)</f>
        <v>-0.21000000000000085</v>
      </c>
      <c r="N63" s="46">
        <f>MAX(tbl_BEP[[#This Row],[Move]],0)</f>
        <v>0</v>
      </c>
      <c r="O63" s="46">
        <f>MAX(-tbl_BEP[[#This Row],[Move]],0)</f>
        <v>0.21000000000000085</v>
      </c>
      <c r="P63" s="46">
        <f ca="1">IF(ROW($N63)-5&lt;RSI_Periods, "", AVERAGE(INDIRECT(ADDRESS(ROW($N63)-RSI_Periods +1, MATCH("Upmove", Price_Header,0))): INDIRECT(ADDRESS(ROW($N63),MATCH("Upmove", Price_Header,0)))))</f>
        <v>0.23357142857142829</v>
      </c>
      <c r="Q63" s="46">
        <f ca="1">IF(ROW($O63)-5&lt;RSI_Periods, "", AVERAGE(INDIRECT(ADDRESS(ROW($O63)-RSI_Periods +1, MATCH("Downmove", Price_Header,0))): INDIRECT(ADDRESS(ROW($O63),MATCH("Downmove", Price_Header,0)))))</f>
        <v>0.1721428571428569</v>
      </c>
      <c r="R63" s="46">
        <f ca="1">IF(tbl_BEP[[#This Row],[Avg_Upmove]]="", "", tbl_BEP[[#This Row],[Avg_Upmove]]/tbl_BEP[[#This Row],[Avg_Downmove]])</f>
        <v>1.3568464730290459</v>
      </c>
      <c r="S63" s="10">
        <f ca="1">IF(ROW($N63)-4&lt;BB_Periods, "", _xlfn.STDEV.S(INDIRECT(ADDRESS(ROW($F63)-RSI_Periods +1, MATCH("Adj Close", Price_Header,0))): INDIRECT(ADDRESS(ROW($F63),MATCH("Adj Close", Price_Header,0)))))</f>
        <v>0.48009900535728539</v>
      </c>
    </row>
    <row r="64" spans="1:19" x14ac:dyDescent="0.35">
      <c r="A64" s="8">
        <v>44137</v>
      </c>
      <c r="B64" s="10">
        <v>55</v>
      </c>
      <c r="C64" s="10">
        <v>57.01</v>
      </c>
      <c r="D64" s="10">
        <v>55</v>
      </c>
      <c r="E64" s="10">
        <v>57.01</v>
      </c>
      <c r="F64" s="10">
        <v>57.01</v>
      </c>
      <c r="G64">
        <v>365900</v>
      </c>
      <c r="H64" s="10">
        <f>IF(tbl_BEP[[#This Row],[Date]]=$A$5, $F64, EMA_Beta*$H63 + (1-EMA_Beta)*$F64)</f>
        <v>53.340420882430116</v>
      </c>
      <c r="I64" s="46">
        <f ca="1">IF(tbl_BEP[[#This Row],[RS]]= "", "", 100-(100/(1+tbl_BEP[[#This Row],[RS]])))</f>
        <v>70.062111801242239</v>
      </c>
      <c r="J64" s="10">
        <f ca="1">IF(ROW($N64)-4&lt;BB_Periods, "", AVERAGE(INDIRECT(ADDRESS(ROW($F64)-RSI_Periods +1, MATCH("Adj Close", Price_Header,0))): INDIRECT(ADDRESS(ROW($F64),MATCH("Adj Close", Price_Header,0)))))</f>
        <v>53.872857142857143</v>
      </c>
      <c r="K64" s="10">
        <f ca="1">IF(tbl_BEP[[#This Row],[BB_Mean]]="", "", tbl_BEP[[#This Row],[BB_Mean]]+(BB_Width*tbl_BEP[[#This Row],[BB_Stdev]]))</f>
        <v>55.916585689809104</v>
      </c>
      <c r="L64" s="10">
        <f ca="1">IF(tbl_BEP[[#This Row],[BB_Mean]]="", "", tbl_BEP[[#This Row],[BB_Mean]]-(BB_Width*tbl_BEP[[#This Row],[BB_Stdev]]))</f>
        <v>51.829128595905182</v>
      </c>
      <c r="M64" s="46">
        <f>IF(ROW(tbl_BEP[[#This Row],[Adj Close]])=5, 0, $F64-$F63)</f>
        <v>2.759999999999998</v>
      </c>
      <c r="N64" s="46">
        <f>MAX(tbl_BEP[[#This Row],[Move]],0)</f>
        <v>2.759999999999998</v>
      </c>
      <c r="O64" s="46">
        <f>MAX(-tbl_BEP[[#This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0.40285714285714241</v>
      </c>
      <c r="Q64" s="46">
        <f ca="1">IF(ROW($O64)-5&lt;RSI_Periods, "", AVERAGE(INDIRECT(ADDRESS(ROW($O64)-RSI_Periods +1, MATCH("Downmove", Price_Header,0))): INDIRECT(ADDRESS(ROW($O64),MATCH("Downmove", Price_Header,0)))))</f>
        <v>0.1721428571428569</v>
      </c>
      <c r="R64" s="46">
        <f ca="1">IF(tbl_BEP[[#This Row],[Avg_Upmove]]="", "", tbl_BEP[[#This Row],[Avg_Upmove]]/tbl_BEP[[#This Row],[Avg_Downmove]])</f>
        <v>2.3402489626556022</v>
      </c>
      <c r="S64" s="10">
        <f ca="1">IF(ROW($N64)-4&lt;BB_Periods, "", _xlfn.STDEV.S(INDIRECT(ADDRESS(ROW($F64)-RSI_Periods +1, MATCH("Adj Close", Price_Header,0))): INDIRECT(ADDRESS(ROW($F64),MATCH("Adj Close", Price_Header,0)))))</f>
        <v>1.0218642734759797</v>
      </c>
    </row>
    <row r="65" spans="1:19" x14ac:dyDescent="0.35">
      <c r="A65" s="8">
        <v>44138</v>
      </c>
      <c r="B65" s="10">
        <v>57.97</v>
      </c>
      <c r="C65" s="10">
        <v>59.34</v>
      </c>
      <c r="D65" s="10">
        <v>57.4</v>
      </c>
      <c r="E65" s="10">
        <v>57.8</v>
      </c>
      <c r="F65" s="10">
        <v>57.8</v>
      </c>
      <c r="G65">
        <v>389600</v>
      </c>
      <c r="H65" s="10">
        <f>IF(tbl_BEP[[#This Row],[Date]]=$A$5, $F65, EMA_Beta*$H64 + (1-EMA_Beta)*$F65)</f>
        <v>53.786378794187108</v>
      </c>
      <c r="I65" s="46">
        <f ca="1">IF(tbl_BEP[[#This Row],[RS]]= "", "", 100-(100/(1+tbl_BEP[[#This Row],[RS]])))</f>
        <v>71.309523809523824</v>
      </c>
      <c r="J65" s="10">
        <f ca="1">IF(ROW($N65)-4&lt;BB_Periods, "", AVERAGE(INDIRECT(ADDRESS(ROW($F65)-RSI_Periods +1, MATCH("Adj Close", Price_Header,0))): INDIRECT(ADDRESS(ROW($F65),MATCH("Adj Close", Price_Header,0)))))</f>
        <v>54.128571428571433</v>
      </c>
      <c r="K65" s="10">
        <f ca="1">IF(tbl_BEP[[#This Row],[BB_Mean]]="", "", tbl_BEP[[#This Row],[BB_Mean]]+(BB_Width*tbl_BEP[[#This Row],[BB_Stdev]]))</f>
        <v>57.061733095209902</v>
      </c>
      <c r="L65" s="10">
        <f ca="1">IF(tbl_BEP[[#This Row],[BB_Mean]]="", "", tbl_BEP[[#This Row],[BB_Mean]]-(BB_Width*tbl_BEP[[#This Row],[BB_Stdev]]))</f>
        <v>51.195409761932964</v>
      </c>
      <c r="M65" s="46">
        <f>IF(ROW(tbl_BEP[[#This Row],[Adj Close]])=5, 0, $F65-$F64)</f>
        <v>0.78999999999999915</v>
      </c>
      <c r="N65" s="46">
        <f>MAX(tbl_BEP[[#This Row],[Move]],0)</f>
        <v>0.78999999999999915</v>
      </c>
      <c r="O65" s="46">
        <f>MAX(-tbl_BEP[[#This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0.42785714285714249</v>
      </c>
      <c r="Q65" s="46">
        <f ca="1">IF(ROW($O65)-5&lt;RSI_Periods, "", AVERAGE(INDIRECT(ADDRESS(ROW($O65)-RSI_Periods +1, MATCH("Downmove", Price_Header,0))): INDIRECT(ADDRESS(ROW($O65),MATCH("Downmove", Price_Header,0)))))</f>
        <v>0.1721428571428569</v>
      </c>
      <c r="R65" s="46">
        <f ca="1">IF(tbl_BEP[[#This Row],[Avg_Upmove]]="", "", tbl_BEP[[#This Row],[Avg_Upmove]]/tbl_BEP[[#This Row],[Avg_Downmove]])</f>
        <v>2.4854771784232379</v>
      </c>
      <c r="S65" s="10">
        <f ca="1">IF(ROW($N65)-4&lt;BB_Periods, "", _xlfn.STDEV.S(INDIRECT(ADDRESS(ROW($F65)-RSI_Periods +1, MATCH("Adj Close", Price_Header,0))): INDIRECT(ADDRESS(ROW($F65),MATCH("Adj Close", Price_Header,0)))))</f>
        <v>1.4665808333192336</v>
      </c>
    </row>
    <row r="66" spans="1:19" x14ac:dyDescent="0.35">
      <c r="A66" s="8">
        <v>44139</v>
      </c>
      <c r="B66" s="10">
        <v>57.8</v>
      </c>
      <c r="C66" s="10">
        <v>58.34</v>
      </c>
      <c r="D66" s="10">
        <v>55.69</v>
      </c>
      <c r="E66" s="10">
        <v>55.91</v>
      </c>
      <c r="F66" s="10">
        <v>55.91</v>
      </c>
      <c r="G66">
        <v>451600</v>
      </c>
      <c r="H66" s="10">
        <f>IF(tbl_BEP[[#This Row],[Date]]=$A$5, $F66, EMA_Beta*$H65 + (1-EMA_Beta)*$F66)</f>
        <v>53.998740914768398</v>
      </c>
      <c r="I66" s="46">
        <f ca="1">IF(tbl_BEP[[#This Row],[RS]]= "", "", 100-(100/(1+tbl_BEP[[#This Row],[RS]])))</f>
        <v>59.483614697120146</v>
      </c>
      <c r="J66" s="10">
        <f ca="1">IF(ROW($N66)-4&lt;BB_Periods, "", AVERAGE(INDIRECT(ADDRESS(ROW($F66)-RSI_Periods +1, MATCH("Adj Close", Price_Header,0))): INDIRECT(ADDRESS(ROW($F66),MATCH("Adj Close", Price_Header,0)))))</f>
        <v>54.264999999999993</v>
      </c>
      <c r="K66" s="10">
        <f ca="1">IF(tbl_BEP[[#This Row],[BB_Mean]]="", "", tbl_BEP[[#This Row],[BB_Mean]]+(BB_Width*tbl_BEP[[#This Row],[BB_Stdev]]))</f>
        <v>57.346335874134901</v>
      </c>
      <c r="L66" s="10">
        <f ca="1">IF(tbl_BEP[[#This Row],[BB_Mean]]="", "", tbl_BEP[[#This Row],[BB_Mean]]-(BB_Width*tbl_BEP[[#This Row],[BB_Stdev]]))</f>
        <v>51.183664125865086</v>
      </c>
      <c r="M66" s="46">
        <f>IF(ROW(tbl_BEP[[#This Row],[Adj Close]])=5, 0, $F66-$F65)</f>
        <v>-1.8900000000000006</v>
      </c>
      <c r="N66" s="46">
        <f>MAX(tbl_BEP[[#This Row],[Move]],0)</f>
        <v>0</v>
      </c>
      <c r="O66" s="46">
        <f>MAX(-tbl_BEP[[#This Row],[Move]],0)</f>
        <v>1.8900000000000006</v>
      </c>
      <c r="P66" s="46">
        <f ca="1">IF(ROW($N66)-5&lt;RSI_Periods, "", AVERAGE(INDIRECT(ADDRESS(ROW($N66)-RSI_Periods +1, MATCH("Upmove", Price_Header,0))): INDIRECT(ADDRESS(ROW($N66),MATCH("Upmove", Price_Header,0)))))</f>
        <v>0.42785714285714249</v>
      </c>
      <c r="Q66" s="46">
        <f ca="1">IF(ROW($O66)-5&lt;RSI_Periods, "", AVERAGE(INDIRECT(ADDRESS(ROW($O66)-RSI_Periods +1, MATCH("Downmove", Price_Header,0))): INDIRECT(ADDRESS(ROW($O66),MATCH("Downmove", Price_Header,0)))))</f>
        <v>0.29142857142857131</v>
      </c>
      <c r="R66" s="46">
        <f ca="1">IF(tbl_BEP[[#This Row],[Avg_Upmove]]="", "", tbl_BEP[[#This Row],[Avg_Upmove]]/tbl_BEP[[#This Row],[Avg_Downmove]])</f>
        <v>1.46813725490196</v>
      </c>
      <c r="S66" s="10">
        <f ca="1">IF(ROW($N66)-4&lt;BB_Periods, "", _xlfn.STDEV.S(INDIRECT(ADDRESS(ROW($F66)-RSI_Periods +1, MATCH("Adj Close", Price_Header,0))): INDIRECT(ADDRESS(ROW($F66),MATCH("Adj Close", Price_Header,0)))))</f>
        <v>1.5406679370674554</v>
      </c>
    </row>
    <row r="67" spans="1:19" x14ac:dyDescent="0.35">
      <c r="A67" s="8">
        <v>44140</v>
      </c>
      <c r="B67" s="10">
        <v>57</v>
      </c>
      <c r="C67" s="10">
        <v>58.45</v>
      </c>
      <c r="D67" s="10">
        <v>57</v>
      </c>
      <c r="E67" s="10">
        <v>57.5</v>
      </c>
      <c r="F67" s="10">
        <v>57.5</v>
      </c>
      <c r="G67">
        <v>287900</v>
      </c>
      <c r="H67" s="10">
        <f>IF(tbl_BEP[[#This Row],[Date]]=$A$5, $F67, EMA_Beta*$H66 + (1-EMA_Beta)*$F67)</f>
        <v>54.348866823291559</v>
      </c>
      <c r="I67" s="46">
        <f ca="1">IF(tbl_BEP[[#This Row],[RS]]= "", "", 100-(100/(1+tbl_BEP[[#This Row],[RS]])))</f>
        <v>66.258741258741253</v>
      </c>
      <c r="J67" s="10">
        <f ca="1">IF(ROW($N67)-4&lt;BB_Periods, "", AVERAGE(INDIRECT(ADDRESS(ROW($F67)-RSI_Periods +1, MATCH("Adj Close", Price_Header,0))): INDIRECT(ADDRESS(ROW($F67),MATCH("Adj Close", Price_Header,0)))))</f>
        <v>54.530714285714282</v>
      </c>
      <c r="K67" s="10">
        <f ca="1">IF(tbl_BEP[[#This Row],[BB_Mean]]="", "", tbl_BEP[[#This Row],[BB_Mean]]+(BB_Width*tbl_BEP[[#This Row],[BB_Stdev]]))</f>
        <v>58.043289184215723</v>
      </c>
      <c r="L67" s="10">
        <f ca="1">IF(tbl_BEP[[#This Row],[BB_Mean]]="", "", tbl_BEP[[#This Row],[BB_Mean]]-(BB_Width*tbl_BEP[[#This Row],[BB_Stdev]]))</f>
        <v>51.018139387212841</v>
      </c>
      <c r="M67" s="46">
        <f>IF(ROW(tbl_BEP[[#This Row],[Adj Close]])=5, 0, $F67-$F66)</f>
        <v>1.5900000000000034</v>
      </c>
      <c r="N67" s="46">
        <f>MAX(tbl_BEP[[#This Row],[Move]],0)</f>
        <v>1.5900000000000034</v>
      </c>
      <c r="O67" s="46">
        <f>MAX(-tbl_BEP[[#This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0.54142857142857126</v>
      </c>
      <c r="Q67" s="46">
        <f ca="1">IF(ROW($O67)-5&lt;RSI_Periods, "", AVERAGE(INDIRECT(ADDRESS(ROW($O67)-RSI_Periods +1, MATCH("Downmove", Price_Header,0))): INDIRECT(ADDRESS(ROW($O67),MATCH("Downmove", Price_Header,0)))))</f>
        <v>0.27571428571428569</v>
      </c>
      <c r="R67" s="46">
        <f ca="1">IF(tbl_BEP[[#This Row],[Avg_Upmove]]="", "", tbl_BEP[[#This Row],[Avg_Upmove]]/tbl_BEP[[#This Row],[Avg_Downmove]])</f>
        <v>1.9637305699481862</v>
      </c>
      <c r="S67" s="10">
        <f ca="1">IF(ROW($N67)-4&lt;BB_Periods, "", _xlfn.STDEV.S(INDIRECT(ADDRESS(ROW($F67)-RSI_Periods +1, MATCH("Adj Close", Price_Header,0))): INDIRECT(ADDRESS(ROW($F67),MATCH("Adj Close", Price_Header,0)))))</f>
        <v>1.7562874492507201</v>
      </c>
    </row>
    <row r="68" spans="1:19" x14ac:dyDescent="0.35">
      <c r="A68" s="8">
        <v>44141</v>
      </c>
      <c r="B68" s="10">
        <v>58.89</v>
      </c>
      <c r="C68" s="10">
        <v>59.21</v>
      </c>
      <c r="D68" s="10">
        <v>57.71</v>
      </c>
      <c r="E68" s="10">
        <v>59.11</v>
      </c>
      <c r="F68" s="10">
        <v>59.11</v>
      </c>
      <c r="G68">
        <v>256800</v>
      </c>
      <c r="H68" s="10">
        <f>IF(tbl_BEP[[#This Row],[Date]]=$A$5, $F68, EMA_Beta*$H67 + (1-EMA_Beta)*$F68)</f>
        <v>54.824980140962403</v>
      </c>
      <c r="I68" s="46">
        <f ca="1">IF(tbl_BEP[[#This Row],[RS]]= "", "", 100-(100/(1+tbl_BEP[[#This Row],[RS]])))</f>
        <v>72.362204724409452</v>
      </c>
      <c r="J68" s="10">
        <f ca="1">IF(ROW($N68)-4&lt;BB_Periods, "", AVERAGE(INDIRECT(ADDRESS(ROW($F68)-RSI_Periods +1, MATCH("Adj Close", Price_Header,0))): INDIRECT(ADDRESS(ROW($F68),MATCH("Adj Close", Price_Header,0)))))</f>
        <v>54.936428571428564</v>
      </c>
      <c r="K68" s="10">
        <f ca="1">IF(tbl_BEP[[#This Row],[BB_Mean]]="", "", tbl_BEP[[#This Row],[BB_Mean]]+(BB_Width*tbl_BEP[[#This Row],[BB_Stdev]]))</f>
        <v>59.144586269138003</v>
      </c>
      <c r="L68" s="10">
        <f ca="1">IF(tbl_BEP[[#This Row],[BB_Mean]]="", "", tbl_BEP[[#This Row],[BB_Mean]]-(BB_Width*tbl_BEP[[#This Row],[BB_Stdev]]))</f>
        <v>50.728270873719126</v>
      </c>
      <c r="M68" s="46">
        <f>IF(ROW(tbl_BEP[[#This Row],[Adj Close]])=5, 0, $F68-$F67)</f>
        <v>1.6099999999999994</v>
      </c>
      <c r="N68" s="46">
        <f>MAX(tbl_BEP[[#This Row],[Move]],0)</f>
        <v>1.6099999999999994</v>
      </c>
      <c r="O68" s="46">
        <f>MAX(-tbl_BEP[[#This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0.65642857142857125</v>
      </c>
      <c r="Q68" s="46">
        <f ca="1">IF(ROW($O68)-5&lt;RSI_Periods, "", AVERAGE(INDIRECT(ADDRESS(ROW($O68)-RSI_Periods +1, MATCH("Downmove", Price_Header,0))): INDIRECT(ADDRESS(ROW($O68),MATCH("Downmove", Price_Header,0)))))</f>
        <v>0.25071428571428556</v>
      </c>
      <c r="R68" s="46">
        <f ca="1">IF(tbl_BEP[[#This Row],[Avg_Upmove]]="", "", tbl_BEP[[#This Row],[Avg_Upmove]]/tbl_BEP[[#This Row],[Avg_Downmove]])</f>
        <v>2.618233618233619</v>
      </c>
      <c r="S68" s="10">
        <f ca="1">IF(ROW($N68)-4&lt;BB_Periods, "", _xlfn.STDEV.S(INDIRECT(ADDRESS(ROW($F68)-RSI_Periods +1, MATCH("Adj Close", Price_Header,0))): INDIRECT(ADDRESS(ROW($F68),MATCH("Adj Close", Price_Header,0)))))</f>
        <v>2.1040788488547189</v>
      </c>
    </row>
    <row r="69" spans="1:19" x14ac:dyDescent="0.35">
      <c r="A69" s="8">
        <v>44144</v>
      </c>
      <c r="B69" s="10">
        <v>64.209999999999994</v>
      </c>
      <c r="C69" s="10">
        <v>64.94</v>
      </c>
      <c r="D69" s="10">
        <v>59.62</v>
      </c>
      <c r="E69" s="10">
        <v>59.73</v>
      </c>
      <c r="F69" s="10">
        <v>59.73</v>
      </c>
      <c r="G69">
        <v>721800</v>
      </c>
      <c r="H69" s="10">
        <f>IF(tbl_BEP[[#This Row],[Date]]=$A$5, $F69, EMA_Beta*$H68 + (1-EMA_Beta)*$F69)</f>
        <v>55.315482126866165</v>
      </c>
      <c r="I69" s="46">
        <f ca="1">IF(tbl_BEP[[#This Row],[RS]]= "", "", 100-(100/(1+tbl_BEP[[#This Row],[RS]])))</f>
        <v>73.226544622425621</v>
      </c>
      <c r="J69" s="10">
        <f ca="1">IF(ROW($N69)-4&lt;BB_Periods, "", AVERAGE(INDIRECT(ADDRESS(ROW($F69)-RSI_Periods +1, MATCH("Adj Close", Price_Header,0))): INDIRECT(ADDRESS(ROW($F69),MATCH("Adj Close", Price_Header,0)))))</f>
        <v>55.371428571428567</v>
      </c>
      <c r="K69" s="10">
        <f ca="1">IF(tbl_BEP[[#This Row],[BB_Mean]]="", "", tbl_BEP[[#This Row],[BB_Mean]]+(BB_Width*tbl_BEP[[#This Row],[BB_Stdev]]))</f>
        <v>60.213595010552261</v>
      </c>
      <c r="L69" s="10">
        <f ca="1">IF(tbl_BEP[[#This Row],[BB_Mean]]="", "", tbl_BEP[[#This Row],[BB_Mean]]-(BB_Width*tbl_BEP[[#This Row],[BB_Stdev]]))</f>
        <v>50.529262132304872</v>
      </c>
      <c r="M69" s="46">
        <f>IF(ROW(tbl_BEP[[#This Row],[Adj Close]])=5, 0, $F69-$F68)</f>
        <v>0.61999999999999744</v>
      </c>
      <c r="N69" s="46">
        <f>MAX(tbl_BEP[[#This Row],[Move]],0)</f>
        <v>0.61999999999999744</v>
      </c>
      <c r="O69" s="46">
        <f>MAX(-tbl_BEP[[#This Row],[Move]],0)</f>
        <v>0</v>
      </c>
      <c r="P69" s="46">
        <f ca="1">IF(ROW($N69)-5&lt;RSI_Periods, "", AVERAGE(INDIRECT(ADDRESS(ROW($N69)-RSI_Periods +1, MATCH("Upmove", Price_Header,0))): INDIRECT(ADDRESS(ROW($N69),MATCH("Upmove", Price_Header,0)))))</f>
        <v>0.68571428571428528</v>
      </c>
      <c r="Q69" s="46">
        <f ca="1">IF(ROW($O69)-5&lt;RSI_Periods, "", AVERAGE(INDIRECT(ADDRESS(ROW($O69)-RSI_Periods +1, MATCH("Downmove", Price_Header,0))): INDIRECT(ADDRESS(ROW($O69),MATCH("Downmove", Price_Header,0)))))</f>
        <v>0.25071428571428556</v>
      </c>
      <c r="R69" s="46">
        <f ca="1">IF(tbl_BEP[[#This Row],[Avg_Upmove]]="", "", tbl_BEP[[#This Row],[Avg_Upmove]]/tbl_BEP[[#This Row],[Avg_Downmove]])</f>
        <v>2.7350427350427351</v>
      </c>
      <c r="S69" s="10">
        <f ca="1">IF(ROW($N69)-4&lt;BB_Periods, "", _xlfn.STDEV.S(INDIRECT(ADDRESS(ROW($F69)-RSI_Periods +1, MATCH("Adj Close", Price_Header,0))): INDIRECT(ADDRESS(ROW($F69),MATCH("Adj Close", Price_Header,0)))))</f>
        <v>2.4210832195618459</v>
      </c>
    </row>
    <row r="70" spans="1:19" x14ac:dyDescent="0.35">
      <c r="A70" s="8">
        <v>44145</v>
      </c>
      <c r="B70" s="10">
        <v>60.02</v>
      </c>
      <c r="C70" s="10">
        <v>60.42</v>
      </c>
      <c r="D70" s="10">
        <v>57.14</v>
      </c>
      <c r="E70" s="10">
        <v>57.37</v>
      </c>
      <c r="F70" s="10">
        <v>57.37</v>
      </c>
      <c r="G70">
        <v>481500</v>
      </c>
      <c r="H70" s="10">
        <f>IF(tbl_BEP[[#This Row],[Date]]=$A$5, $F70, EMA_Beta*$H69 + (1-EMA_Beta)*$F70)</f>
        <v>55.520933914179551</v>
      </c>
      <c r="I70" s="46">
        <f ca="1">IF(tbl_BEP[[#This Row],[RS]]= "", "", 100-(100/(1+tbl_BEP[[#This Row],[RS]])))</f>
        <v>63.450099140779919</v>
      </c>
      <c r="J70" s="10">
        <f ca="1">IF(ROW($N70)-4&lt;BB_Periods, "", AVERAGE(INDIRECT(ADDRESS(ROW($F70)-RSI_Periods +1, MATCH("Adj Close", Price_Header,0))): INDIRECT(ADDRESS(ROW($F70),MATCH("Adj Close", Price_Header,0)))))</f>
        <v>55.662142857142854</v>
      </c>
      <c r="K70" s="10">
        <f ca="1">IF(tbl_BEP[[#This Row],[BB_Mean]]="", "", tbl_BEP[[#This Row],[BB_Mean]]+(BB_Width*tbl_BEP[[#This Row],[BB_Stdev]]))</f>
        <v>60.457064392212274</v>
      </c>
      <c r="L70" s="10">
        <f ca="1">IF(tbl_BEP[[#This Row],[BB_Mean]]="", "", tbl_BEP[[#This Row],[BB_Mean]]-(BB_Width*tbl_BEP[[#This Row],[BB_Stdev]]))</f>
        <v>50.867221322073433</v>
      </c>
      <c r="M70" s="46">
        <f>IF(ROW(tbl_BEP[[#This Row],[Adj Close]])=5, 0, $F70-$F69)</f>
        <v>-2.3599999999999994</v>
      </c>
      <c r="N70" s="46">
        <f>MAX(tbl_BEP[[#This Row],[Move]],0)</f>
        <v>0</v>
      </c>
      <c r="O70" s="46">
        <f>MAX(-tbl_BEP[[#This Row],[Move]],0)</f>
        <v>2.3599999999999994</v>
      </c>
      <c r="P70" s="46">
        <f ca="1">IF(ROW($N70)-5&lt;RSI_Periods, "", AVERAGE(INDIRECT(ADDRESS(ROW($N70)-RSI_Periods +1, MATCH("Upmove", Price_Header,0))): INDIRECT(ADDRESS(ROW($N70),MATCH("Upmove", Price_Header,0)))))</f>
        <v>0.68571428571428528</v>
      </c>
      <c r="Q70" s="46">
        <f ca="1">IF(ROW($O70)-5&lt;RSI_Periods, "", AVERAGE(INDIRECT(ADDRESS(ROW($O70)-RSI_Periods +1, MATCH("Downmove", Price_Header,0))): INDIRECT(ADDRESS(ROW($O70),MATCH("Downmove", Price_Header,0)))))</f>
        <v>0.39499999999999957</v>
      </c>
      <c r="R70" s="46">
        <f ca="1">IF(tbl_BEP[[#This Row],[Avg_Upmove]]="", "", tbl_BEP[[#This Row],[Avg_Upmove]]/tbl_BEP[[#This Row],[Avg_Downmove]])</f>
        <v>1.7359855334538887</v>
      </c>
      <c r="S70" s="10">
        <f ca="1">IF(ROW($N70)-4&lt;BB_Periods, "", _xlfn.STDEV.S(INDIRECT(ADDRESS(ROW($F70)-RSI_Periods +1, MATCH("Adj Close", Price_Header,0))): INDIRECT(ADDRESS(ROW($F70),MATCH("Adj Close", Price_Header,0)))))</f>
        <v>2.397460767534711</v>
      </c>
    </row>
    <row r="71" spans="1:19" x14ac:dyDescent="0.35">
      <c r="A71" s="8">
        <v>44146</v>
      </c>
      <c r="B71" s="10">
        <v>58.08</v>
      </c>
      <c r="C71" s="10">
        <v>59.7</v>
      </c>
      <c r="D71" s="10">
        <v>58.08</v>
      </c>
      <c r="E71" s="10">
        <v>59.39</v>
      </c>
      <c r="F71" s="10">
        <v>59.39</v>
      </c>
      <c r="G71">
        <v>300700</v>
      </c>
      <c r="H71" s="10">
        <f>IF(tbl_BEP[[#This Row],[Date]]=$A$5, $F71, EMA_Beta*$H70 + (1-EMA_Beta)*$F71)</f>
        <v>55.907840522761596</v>
      </c>
      <c r="I71" s="46">
        <f ca="1">IF(tbl_BEP[[#This Row],[RS]]= "", "", 100-(100/(1+tbl_BEP[[#This Row],[RS]])))</f>
        <v>67.698598130841134</v>
      </c>
      <c r="J71" s="10">
        <f ca="1">IF(ROW($N71)-4&lt;BB_Periods, "", AVERAGE(INDIRECT(ADDRESS(ROW($F71)-RSI_Periods +1, MATCH("Adj Close", Price_Header,0))): INDIRECT(ADDRESS(ROW($F71),MATCH("Adj Close", Price_Header,0)))))</f>
        <v>56.095000000000006</v>
      </c>
      <c r="K71" s="10">
        <f ca="1">IF(tbl_BEP[[#This Row],[BB_Mean]]="", "", tbl_BEP[[#This Row],[BB_Mean]]+(BB_Width*tbl_BEP[[#This Row],[BB_Stdev]]))</f>
        <v>61.073617355173099</v>
      </c>
      <c r="L71" s="10">
        <f ca="1">IF(tbl_BEP[[#This Row],[BB_Mean]]="", "", tbl_BEP[[#This Row],[BB_Mean]]-(BB_Width*tbl_BEP[[#This Row],[BB_Stdev]]))</f>
        <v>51.116382644826913</v>
      </c>
      <c r="M71" s="46">
        <f>IF(ROW(tbl_BEP[[#This Row],[Adj Close]])=5, 0, $F71-$F70)</f>
        <v>2.0200000000000031</v>
      </c>
      <c r="N71" s="46">
        <f>MAX(tbl_BEP[[#This Row],[Move]],0)</f>
        <v>2.0200000000000031</v>
      </c>
      <c r="O71" s="46">
        <f>MAX(-tbl_BEP[[#This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0.82785714285714262</v>
      </c>
      <c r="Q71" s="46">
        <f ca="1">IF(ROW($O71)-5&lt;RSI_Periods, "", AVERAGE(INDIRECT(ADDRESS(ROW($O71)-RSI_Periods +1, MATCH("Downmove", Price_Header,0))): INDIRECT(ADDRESS(ROW($O71),MATCH("Downmove", Price_Header,0)))))</f>
        <v>0.39499999999999957</v>
      </c>
      <c r="R71" s="46">
        <f ca="1">IF(tbl_BEP[[#This Row],[Avg_Upmove]]="", "", tbl_BEP[[#This Row],[Avg_Upmove]]/tbl_BEP[[#This Row],[Avg_Downmove]])</f>
        <v>2.0958408679927683</v>
      </c>
      <c r="S71" s="10">
        <f ca="1">IF(ROW($N71)-4&lt;BB_Periods, "", _xlfn.STDEV.S(INDIRECT(ADDRESS(ROW($F71)-RSI_Periods +1, MATCH("Adj Close", Price_Header,0))): INDIRECT(ADDRESS(ROW($F71),MATCH("Adj Close", Price_Header,0)))))</f>
        <v>2.4893086775865481</v>
      </c>
    </row>
    <row r="72" spans="1:19" x14ac:dyDescent="0.35">
      <c r="A72" s="8">
        <v>44147</v>
      </c>
      <c r="B72" s="10">
        <v>58.78</v>
      </c>
      <c r="C72" s="10">
        <v>60.12</v>
      </c>
      <c r="D72" s="10">
        <v>58.12</v>
      </c>
      <c r="E72" s="10">
        <v>58.88</v>
      </c>
      <c r="F72" s="10">
        <v>58.88</v>
      </c>
      <c r="G72">
        <v>275700</v>
      </c>
      <c r="H72" s="10">
        <f>IF(tbl_BEP[[#This Row],[Date]]=$A$5, $F72, EMA_Beta*$H71 + (1-EMA_Beta)*$F72)</f>
        <v>56.205056470485438</v>
      </c>
      <c r="I72" s="46">
        <f ca="1">IF(tbl_BEP[[#This Row],[RS]]= "", "", 100-(100/(1+tbl_BEP[[#This Row],[RS]])))</f>
        <v>66.304347826086968</v>
      </c>
      <c r="J72" s="10">
        <f ca="1">IF(ROW($N72)-4&lt;BB_Periods, "", AVERAGE(INDIRECT(ADDRESS(ROW($F72)-RSI_Periods +1, MATCH("Adj Close", Price_Header,0))): INDIRECT(ADDRESS(ROW($F72),MATCH("Adj Close", Price_Header,0)))))</f>
        <v>56.502142857142864</v>
      </c>
      <c r="K72" s="10">
        <f ca="1">IF(tbl_BEP[[#This Row],[BB_Mean]]="", "", tbl_BEP[[#This Row],[BB_Mean]]+(BB_Width*tbl_BEP[[#This Row],[BB_Stdev]]))</f>
        <v>61.385232538396409</v>
      </c>
      <c r="L72" s="10">
        <f ca="1">IF(tbl_BEP[[#This Row],[BB_Mean]]="", "", tbl_BEP[[#This Row],[BB_Mean]]-(BB_Width*tbl_BEP[[#This Row],[BB_Stdev]]))</f>
        <v>51.61905317588932</v>
      </c>
      <c r="M72" s="46">
        <f>IF(ROW(tbl_BEP[[#This Row],[Adj Close]])=5, 0, $F72-$F71)</f>
        <v>-0.50999999999999801</v>
      </c>
      <c r="N72" s="46">
        <f>MAX(tbl_BEP[[#This Row],[Move]],0)</f>
        <v>0</v>
      </c>
      <c r="O72" s="46">
        <f>MAX(-tbl_BEP[[#This Row],[Move]],0)</f>
        <v>0.50999999999999801</v>
      </c>
      <c r="P72" s="46">
        <f ca="1">IF(ROW($N72)-5&lt;RSI_Periods, "", AVERAGE(INDIRECT(ADDRESS(ROW($N72)-RSI_Periods +1, MATCH("Upmove", Price_Header,0))): INDIRECT(ADDRESS(ROW($N72),MATCH("Upmove", Price_Header,0)))))</f>
        <v>0.82785714285714262</v>
      </c>
      <c r="Q72" s="46">
        <f ca="1">IF(ROW($O72)-5&lt;RSI_Periods, "", AVERAGE(INDIRECT(ADDRESS(ROW($O72)-RSI_Periods +1, MATCH("Downmove", Price_Header,0))): INDIRECT(ADDRESS(ROW($O72),MATCH("Downmove", Price_Header,0)))))</f>
        <v>0.42071428571428526</v>
      </c>
      <c r="R72" s="46">
        <f ca="1">IF(tbl_BEP[[#This Row],[Avg_Upmove]]="", "", tbl_BEP[[#This Row],[Avg_Upmove]]/tbl_BEP[[#This Row],[Avg_Downmove]])</f>
        <v>1.9677419354838726</v>
      </c>
      <c r="S72" s="10">
        <f ca="1">IF(ROW($N72)-4&lt;BB_Periods, "", _xlfn.STDEV.S(INDIRECT(ADDRESS(ROW($F72)-RSI_Periods +1, MATCH("Adj Close", Price_Header,0))): INDIRECT(ADDRESS(ROW($F72),MATCH("Adj Close", Price_Header,0)))))</f>
        <v>2.4415448406267712</v>
      </c>
    </row>
    <row r="73" spans="1:19" x14ac:dyDescent="0.35">
      <c r="A73" s="8">
        <v>44148</v>
      </c>
      <c r="B73" s="10">
        <v>59.29</v>
      </c>
      <c r="C73" s="10">
        <v>59.33</v>
      </c>
      <c r="D73" s="10">
        <v>57.37</v>
      </c>
      <c r="E73" s="10">
        <v>57.6</v>
      </c>
      <c r="F73" s="10">
        <v>57.6</v>
      </c>
      <c r="G73">
        <v>349500</v>
      </c>
      <c r="H73" s="10">
        <f>IF(tbl_BEP[[#This Row],[Date]]=$A$5, $F73, EMA_Beta*$H72 + (1-EMA_Beta)*$F73)</f>
        <v>56.34455082343689</v>
      </c>
      <c r="I73" s="46">
        <f ca="1">IF(tbl_BEP[[#This Row],[RS]]= "", "", 100-(100/(1+tbl_BEP[[#This Row],[RS]])))</f>
        <v>61.813333333333333</v>
      </c>
      <c r="J73" s="10">
        <f ca="1">IF(ROW($N73)-4&lt;BB_Periods, "", AVERAGE(INDIRECT(ADDRESS(ROW($F73)-RSI_Periods +1, MATCH("Adj Close", Price_Header,0))): INDIRECT(ADDRESS(ROW($F73),MATCH("Adj Close", Price_Header,0)))))</f>
        <v>56.818571428571431</v>
      </c>
      <c r="K73" s="10">
        <f ca="1">IF(tbl_BEP[[#This Row],[BB_Mean]]="", "", tbl_BEP[[#This Row],[BB_Mean]]+(BB_Width*tbl_BEP[[#This Row],[BB_Stdev]]))</f>
        <v>61.331635249851274</v>
      </c>
      <c r="L73" s="10">
        <f ca="1">IF(tbl_BEP[[#This Row],[BB_Mean]]="", "", tbl_BEP[[#This Row],[BB_Mean]]-(BB_Width*tbl_BEP[[#This Row],[BB_Stdev]]))</f>
        <v>52.305507607291588</v>
      </c>
      <c r="M73" s="46">
        <f>IF(ROW(tbl_BEP[[#This Row],[Adj Close]])=5, 0, $F73-$F72)</f>
        <v>-1.2800000000000011</v>
      </c>
      <c r="N73" s="46">
        <f>MAX(tbl_BEP[[#This Row],[Move]],0)</f>
        <v>0</v>
      </c>
      <c r="O73" s="46">
        <f>MAX(-tbl_BEP[[#This Row],[Move]],0)</f>
        <v>1.2800000000000011</v>
      </c>
      <c r="P73" s="46">
        <f ca="1">IF(ROW($N73)-5&lt;RSI_Periods, "", AVERAGE(INDIRECT(ADDRESS(ROW($N73)-RSI_Periods +1, MATCH("Upmove", Price_Header,0))): INDIRECT(ADDRESS(ROW($N73),MATCH("Upmove", Price_Header,0)))))</f>
        <v>0.82785714285714262</v>
      </c>
      <c r="Q73" s="46">
        <f ca="1">IF(ROW($O73)-5&lt;RSI_Periods, "", AVERAGE(INDIRECT(ADDRESS(ROW($O73)-RSI_Periods +1, MATCH("Downmove", Price_Header,0))): INDIRECT(ADDRESS(ROW($O73),MATCH("Downmove", Price_Header,0)))))</f>
        <v>0.51142857142857123</v>
      </c>
      <c r="R73" s="46">
        <f ca="1">IF(tbl_BEP[[#This Row],[Avg_Upmove]]="", "", tbl_BEP[[#This Row],[Avg_Upmove]]/tbl_BEP[[#This Row],[Avg_Downmove]])</f>
        <v>1.6187150837988828</v>
      </c>
      <c r="S73" s="10">
        <f ca="1">IF(ROW($N73)-4&lt;BB_Periods, "", _xlfn.STDEV.S(INDIRECT(ADDRESS(ROW($F73)-RSI_Periods +1, MATCH("Adj Close", Price_Header,0))): INDIRECT(ADDRESS(ROW($F73),MATCH("Adj Close", Price_Header,0)))))</f>
        <v>2.2565319106399229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J74" s="61"/>
      <c r="K74" s="61"/>
      <c r="L74" s="61"/>
      <c r="S74" s="61">
        <f ca="1">SUBTOTAL(103,tbl_BEP[BB_Stdev])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/>
  </sheetPr>
  <dimension ref="A1:W44"/>
  <sheetViews>
    <sheetView tabSelected="1" topLeftCell="A2" zoomScale="50" zoomScaleNormal="70" workbookViewId="0">
      <selection activeCell="Z15" sqref="Z15"/>
    </sheetView>
  </sheetViews>
  <sheetFormatPr defaultColWidth="9.1796875" defaultRowHeight="13.5" x14ac:dyDescent="0.25"/>
  <cols>
    <col min="1" max="1" width="10.453125" style="67" customWidth="1"/>
    <col min="2" max="2" width="13.54296875" style="67" customWidth="1"/>
    <col min="3" max="3" width="13.7265625" style="67" customWidth="1"/>
    <col min="4" max="4" width="14.453125" style="67" customWidth="1"/>
    <col min="5" max="5" width="13.7265625" style="67" customWidth="1"/>
    <col min="6" max="6" width="15.26953125" style="67" customWidth="1"/>
    <col min="7" max="7" width="17.453125" style="67" customWidth="1"/>
    <col min="8" max="8" width="13.7265625" style="67" customWidth="1"/>
    <col min="9" max="16384" width="9.1796875" style="67"/>
  </cols>
  <sheetData>
    <row r="1" spans="1:23" x14ac:dyDescent="0.25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5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45">
      <c r="A3" s="84"/>
      <c r="B3" s="87" t="s">
        <v>288</v>
      </c>
      <c r="C3" s="69"/>
      <c r="D3" s="68"/>
      <c r="E3" s="68"/>
      <c r="F3" s="72" t="s">
        <v>195</v>
      </c>
      <c r="G3" s="89">
        <f>DATE(2020, 11, 13)</f>
        <v>44148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35</v>
      </c>
      <c r="W3" s="85"/>
    </row>
    <row r="4" spans="1:23" x14ac:dyDescent="0.25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7.5" x14ac:dyDescent="0.3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96157.700000000012</v>
      </c>
      <c r="G5" s="70">
        <f ca="1">INDEX(tbl_position[], COUNT(tbl_position[Date]), MATCH("Total_Net_Asset", pos_header,0))-INDEX(tbl_position[], COUNT(tbl_position[Date])-1, MATCH("Total_Net_Asset", pos_header,0))</f>
        <v>507.30000000000291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7.5" x14ac:dyDescent="0.35">
      <c r="A6" s="84"/>
      <c r="B6" s="91" t="s">
        <v>180</v>
      </c>
      <c r="C6" s="73"/>
      <c r="D6" s="68"/>
      <c r="F6" s="90">
        <f>INDEX(tbl_position[], COUNT(tbl_position[Date]), MATCH("Cash_holding", pos_header,0))</f>
        <v>0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7" x14ac:dyDescent="0.3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5.5" thickBot="1" x14ac:dyDescent="0.35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5" thickBot="1" x14ac:dyDescent="0.3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5" x14ac:dyDescent="0.35">
      <c r="A10" s="84"/>
      <c r="B10" s="105">
        <v>1</v>
      </c>
      <c r="C10" s="106" t="str">
        <f ca="1">INDEX(tbl_holdings[], MATCH(LARGE(tbl_holdings[Total], Dashboard!$B10), tbl_holdings[Total], 0), 2)</f>
        <v>PLL</v>
      </c>
      <c r="D10" s="107">
        <f ca="1">LARGE(tbl_holdings[Total], 1)/tbl_holdings[[#Totals],[Total]]</f>
        <v>0.29271413485007164</v>
      </c>
      <c r="E10" s="75"/>
      <c r="F10" s="108" t="s">
        <v>190</v>
      </c>
      <c r="G10" s="109" t="e">
        <f>INDEX(tbl_transsummary[], _xlfn.FLOOR.MATH(($G$3-DATE(2020, 9, 9))/7)+1, 4)</f>
        <v>#REF!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6.5" thickBot="1" x14ac:dyDescent="0.35">
      <c r="A11" s="84"/>
      <c r="B11" s="98">
        <v>2</v>
      </c>
      <c r="C11" s="101" t="str">
        <f ca="1">INDEX(tbl_holdings[], MATCH(LARGE(tbl_holdings[Total], Dashboard!$B11), tbl_holdings[Total], 0), 2)</f>
        <v>SPXS</v>
      </c>
      <c r="D11" s="94">
        <f ca="1">LARGE(tbl_holdings[Total], 2)/tbl_holdings[[#Totals],[Total]]</f>
        <v>0.20356340021646824</v>
      </c>
      <c r="E11" s="75"/>
      <c r="F11" s="112" t="s">
        <v>191</v>
      </c>
      <c r="G11" s="113" t="e">
        <f>INDEX(tbl_transsummary[], _xlfn.FLOOR.MATH(($G$3-DATE(2020, 9, 9))/7)+1, 5)</f>
        <v>#REF!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5.5" thickBot="1" x14ac:dyDescent="0.35">
      <c r="A12" s="84"/>
      <c r="B12" s="99">
        <v>3</v>
      </c>
      <c r="C12" s="102" t="str">
        <f ca="1">INDEX(tbl_holdings[], MATCH(LARGE(tbl_holdings[Total], Dashboard!$B12), tbl_holdings[Total], 0), 2)</f>
        <v>LLNW</v>
      </c>
      <c r="D12" s="95">
        <f ca="1">LARGE(tbl_holdings[Total], 3)/tbl_holdings[[#Totals],[Total]]</f>
        <v>0.16437344714713267</v>
      </c>
      <c r="E12" s="75"/>
      <c r="F12" s="110" t="s">
        <v>192</v>
      </c>
      <c r="G12" s="111" t="e">
        <f>INDEX(tbl_transsummary[], _xlfn.FLOOR.MATH(($G$3-DATE(2020, 9, 9))/7)+1, 6)</f>
        <v>#REF!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5.5" thickBot="1" x14ac:dyDescent="0.35">
      <c r="A13" s="84"/>
      <c r="B13" s="68"/>
      <c r="C13" s="78"/>
      <c r="D13" s="68"/>
      <c r="E13" s="68"/>
      <c r="F13" s="112" t="s">
        <v>193</v>
      </c>
      <c r="G13" s="113" t="e">
        <f>INDEX(tbl_transsummary[], _xlfn.FLOOR.MATH(($G$3-DATE(2020, 9, 9))/7)+1, 7)</f>
        <v>#REF!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5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4" thickBot="1" x14ac:dyDescent="0.3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5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7.5" x14ac:dyDescent="0.3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19.5" x14ac:dyDescent="0.35">
      <c r="A18" s="84"/>
      <c r="B18" s="88" t="s">
        <v>275</v>
      </c>
      <c r="C18" s="68"/>
      <c r="D18" s="68"/>
      <c r="E18" s="68"/>
      <c r="F18" s="68"/>
      <c r="G18" s="124" t="s">
        <v>341</v>
      </c>
      <c r="H18" s="68"/>
      <c r="I18" s="123">
        <v>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4" thickBot="1" x14ac:dyDescent="0.3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5" thickBot="1" x14ac:dyDescent="0.3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5">
      <c r="A21" s="114">
        <v>0</v>
      </c>
      <c r="B21" s="116">
        <f t="shared" ref="B21:B30" ca="1" si="0">INDEX(INDIRECT("tbl_"&amp;$G$18), COUNT(Date_List)-20+$I$18+A21, 1)</f>
        <v>44123</v>
      </c>
      <c r="C21" s="119">
        <f t="shared" ref="C21:C30" ca="1" si="1">INDEX(INDIRECT("tbl_"&amp;$G$18), COUNT(Date_List)-20+$I$18+A21, MATCH("Open", Price_Header,0))</f>
        <v>10.24</v>
      </c>
      <c r="D21" s="119">
        <f t="shared" ref="D21:D30" ca="1" si="2">INDEX(INDIRECT("tbl_"&amp;$G$18), COUNT(Date_List)-20+$I$18+A21, MATCH("High", Price_Header,0))</f>
        <v>10.52</v>
      </c>
      <c r="E21" s="119">
        <f t="shared" ref="E21:E30" ca="1" si="3">INDEX(INDIRECT("tbl_"&amp;$G$18), COUNT(Date_List)-20+$I$18+A21, MATCH("low", Price_Header,0))</f>
        <v>10.08</v>
      </c>
      <c r="F21" s="119">
        <f t="shared" ref="F21:F30" ca="1" si="4">INDEX(INDIRECT("tbl_"&amp;$G$18), COUNT(Date_List)-20+$I$18+A21, MATCH("Close", Price_Header,0))</f>
        <v>10.15</v>
      </c>
      <c r="G21" s="119">
        <f t="shared" ref="G21:G30" ca="1" si="5">INDEX(INDIRECT("tbl_"&amp;$G$18), COUNT(Date_List)-20+$I$18+A21, MATCH("adj close", Price_Header,0))</f>
        <v>10.15</v>
      </c>
      <c r="H21" s="121">
        <f t="shared" ref="H21:H30" ca="1" si="6">INDEX(INDIRECT("tbl_"&amp;$G$18), COUNT(Date_List)-20+$I$18+A21, MATCH("volume", Price_Header,0))/1000</f>
        <v>3203.9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5">
      <c r="A22" s="114">
        <v>1</v>
      </c>
      <c r="B22" s="116">
        <f t="shared" ca="1" si="0"/>
        <v>44124</v>
      </c>
      <c r="C22" s="119">
        <f t="shared" ca="1" si="1"/>
        <v>10.25</v>
      </c>
      <c r="D22" s="119">
        <f t="shared" ca="1" si="2"/>
        <v>10.99</v>
      </c>
      <c r="E22" s="119">
        <f t="shared" ca="1" si="3"/>
        <v>10.210000000000001</v>
      </c>
      <c r="F22" s="119">
        <f t="shared" ca="1" si="4"/>
        <v>10.39</v>
      </c>
      <c r="G22" s="119">
        <f t="shared" ca="1" si="5"/>
        <v>10.39</v>
      </c>
      <c r="H22" s="121">
        <f t="shared" ca="1" si="6"/>
        <v>3633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5">
      <c r="A23" s="114">
        <v>2</v>
      </c>
      <c r="B23" s="116">
        <f t="shared" ca="1" si="0"/>
        <v>44125</v>
      </c>
      <c r="C23" s="119">
        <f t="shared" ca="1" si="1"/>
        <v>10.51</v>
      </c>
      <c r="D23" s="119">
        <f t="shared" ca="1" si="2"/>
        <v>11.19</v>
      </c>
      <c r="E23" s="119">
        <f t="shared" ca="1" si="3"/>
        <v>10.35</v>
      </c>
      <c r="F23" s="119">
        <f t="shared" ca="1" si="4"/>
        <v>10.97</v>
      </c>
      <c r="G23" s="119">
        <f t="shared" ca="1" si="5"/>
        <v>10.97</v>
      </c>
      <c r="H23" s="121">
        <f t="shared" ca="1" si="6"/>
        <v>4132.5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5">
      <c r="A24" s="114">
        <v>3</v>
      </c>
      <c r="B24" s="116">
        <f t="shared" ca="1" si="0"/>
        <v>44126</v>
      </c>
      <c r="C24" s="119">
        <f t="shared" ca="1" si="1"/>
        <v>11.02</v>
      </c>
      <c r="D24" s="119">
        <f t="shared" ca="1" si="2"/>
        <v>11.07</v>
      </c>
      <c r="E24" s="119">
        <f t="shared" ca="1" si="3"/>
        <v>10.199999999999999</v>
      </c>
      <c r="F24" s="119">
        <f t="shared" ca="1" si="4"/>
        <v>10.6</v>
      </c>
      <c r="G24" s="119">
        <f t="shared" ca="1" si="5"/>
        <v>10.6</v>
      </c>
      <c r="H24" s="121">
        <f t="shared" ca="1" si="6"/>
        <v>2844.3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5">
      <c r="A25" s="114">
        <v>4</v>
      </c>
      <c r="B25" s="116">
        <f t="shared" ca="1" si="0"/>
        <v>44127</v>
      </c>
      <c r="C25" s="119">
        <f t="shared" ca="1" si="1"/>
        <v>10.78</v>
      </c>
      <c r="D25" s="119">
        <f t="shared" ca="1" si="2"/>
        <v>11.04</v>
      </c>
      <c r="E25" s="119">
        <f t="shared" ca="1" si="3"/>
        <v>10.69</v>
      </c>
      <c r="F25" s="119">
        <f t="shared" ca="1" si="4"/>
        <v>10.79</v>
      </c>
      <c r="G25" s="119">
        <f t="shared" ca="1" si="5"/>
        <v>10.79</v>
      </c>
      <c r="H25" s="121">
        <f t="shared" ca="1" si="6"/>
        <v>1905.7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5">
      <c r="A26" s="114">
        <v>5</v>
      </c>
      <c r="B26" s="116">
        <f t="shared" ca="1" si="0"/>
        <v>44130</v>
      </c>
      <c r="C26" s="119">
        <f t="shared" ca="1" si="1"/>
        <v>10.5</v>
      </c>
      <c r="D26" s="119">
        <f t="shared" ca="1" si="2"/>
        <v>10.67</v>
      </c>
      <c r="E26" s="119">
        <f t="shared" ca="1" si="3"/>
        <v>10.23</v>
      </c>
      <c r="F26" s="119">
        <f t="shared" ca="1" si="4"/>
        <v>10.62</v>
      </c>
      <c r="G26" s="119">
        <f t="shared" ca="1" si="5"/>
        <v>10.62</v>
      </c>
      <c r="H26" s="121">
        <f t="shared" ca="1" si="6"/>
        <v>2076.3000000000002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5">
      <c r="A27" s="114">
        <v>6</v>
      </c>
      <c r="B27" s="116">
        <f t="shared" ca="1" si="0"/>
        <v>44131</v>
      </c>
      <c r="C27" s="119">
        <f t="shared" ca="1" si="1"/>
        <v>10.66</v>
      </c>
      <c r="D27" s="119">
        <f t="shared" ca="1" si="2"/>
        <v>10.91</v>
      </c>
      <c r="E27" s="119">
        <f t="shared" ca="1" si="3"/>
        <v>10.46</v>
      </c>
      <c r="F27" s="119">
        <f t="shared" ca="1" si="4"/>
        <v>10.57</v>
      </c>
      <c r="G27" s="119">
        <f t="shared" ca="1" si="5"/>
        <v>10.57</v>
      </c>
      <c r="H27" s="121">
        <f t="shared" ca="1" si="6"/>
        <v>2093.8000000000002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5">
      <c r="A28" s="114">
        <v>7</v>
      </c>
      <c r="B28" s="116">
        <f t="shared" ca="1" si="0"/>
        <v>44132</v>
      </c>
      <c r="C28" s="119">
        <f t="shared" ca="1" si="1"/>
        <v>10.1</v>
      </c>
      <c r="D28" s="119">
        <f t="shared" ca="1" si="2"/>
        <v>10.29</v>
      </c>
      <c r="E28" s="119">
        <f t="shared" ca="1" si="3"/>
        <v>9.8800000000000008</v>
      </c>
      <c r="F28" s="119">
        <f t="shared" ca="1" si="4"/>
        <v>10.029999999999999</v>
      </c>
      <c r="G28" s="119">
        <f t="shared" ca="1" si="5"/>
        <v>10.029999999999999</v>
      </c>
      <c r="H28" s="121">
        <f t="shared" ca="1" si="6"/>
        <v>2281.8000000000002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5">
      <c r="A29" s="114">
        <v>8</v>
      </c>
      <c r="B29" s="116">
        <f t="shared" ca="1" si="0"/>
        <v>44133</v>
      </c>
      <c r="C29" s="119">
        <f t="shared" ca="1" si="1"/>
        <v>10.050000000000001</v>
      </c>
      <c r="D29" s="119">
        <f t="shared" ca="1" si="2"/>
        <v>10.9</v>
      </c>
      <c r="E29" s="119">
        <f t="shared" ca="1" si="3"/>
        <v>9.92</v>
      </c>
      <c r="F29" s="119">
        <f t="shared" ca="1" si="4"/>
        <v>10.9</v>
      </c>
      <c r="G29" s="119">
        <f t="shared" ca="1" si="5"/>
        <v>10.9</v>
      </c>
      <c r="H29" s="121">
        <f t="shared" ca="1" si="6"/>
        <v>2088.6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4" thickBot="1" x14ac:dyDescent="0.3">
      <c r="A30" s="114">
        <v>9</v>
      </c>
      <c r="B30" s="117">
        <f t="shared" ca="1" si="0"/>
        <v>44134</v>
      </c>
      <c r="C30" s="120">
        <f t="shared" ca="1" si="1"/>
        <v>10.79</v>
      </c>
      <c r="D30" s="120">
        <f t="shared" ca="1" si="2"/>
        <v>11.07</v>
      </c>
      <c r="E30" s="120">
        <f t="shared" ca="1" si="3"/>
        <v>10.5</v>
      </c>
      <c r="F30" s="120">
        <f t="shared" ca="1" si="4"/>
        <v>10.75</v>
      </c>
      <c r="G30" s="120">
        <f t="shared" ca="1" si="5"/>
        <v>10.75</v>
      </c>
      <c r="H30" s="122">
        <f t="shared" ca="1" si="6"/>
        <v>2182.3000000000002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7.5" x14ac:dyDescent="0.3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5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5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5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5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5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5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5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5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5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5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5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5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4" thickBot="1" x14ac:dyDescent="0.3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 xr:uid="{00000000-0002-0000-1300-000000000000}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12700</xdr:colOff>
                    <xdr:row>18</xdr:row>
                    <xdr:rowOff>165100</xdr:rowOff>
                  </from>
                  <to>
                    <xdr:col>8</xdr:col>
                    <xdr:colOff>114300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184150</xdr:colOff>
                    <xdr:row>13</xdr:row>
                    <xdr:rowOff>57150</xdr:rowOff>
                  </from>
                  <to>
                    <xdr:col>20</xdr:col>
                    <xdr:colOff>203200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AK31"/>
  <sheetViews>
    <sheetView topLeftCell="W2" workbookViewId="0">
      <selection activeCell="AH16" sqref="AH16"/>
    </sheetView>
  </sheetViews>
  <sheetFormatPr defaultRowHeight="14.5" x14ac:dyDescent="0.35"/>
  <cols>
    <col min="4" max="4" width="14.7265625" customWidth="1"/>
    <col min="5" max="5" width="12.26953125" customWidth="1"/>
    <col min="11" max="11" width="11.1796875" customWidth="1"/>
    <col min="12" max="12" width="11.54296875" customWidth="1"/>
    <col min="20" max="20" width="10.7265625" customWidth="1"/>
    <col min="22" max="22" width="12.81640625" customWidth="1"/>
    <col min="30" max="30" width="10.7265625" customWidth="1"/>
    <col min="33" max="33" width="9.7265625" bestFit="1" customWidth="1"/>
    <col min="34" max="34" width="12" customWidth="1"/>
    <col min="35" max="35" width="15.7265625" customWidth="1"/>
    <col min="36" max="36" width="12.54296875" bestFit="1" customWidth="1"/>
  </cols>
  <sheetData>
    <row r="1" spans="2:37" x14ac:dyDescent="0.35">
      <c r="R1" s="21"/>
    </row>
    <row r="2" spans="2:37" x14ac:dyDescent="0.35">
      <c r="B2" s="51" t="s">
        <v>212</v>
      </c>
      <c r="J2" s="51" t="s">
        <v>213</v>
      </c>
      <c r="T2" t="s">
        <v>183</v>
      </c>
      <c r="U2" s="51" t="str">
        <f>Dashboard!G18</f>
        <v>LTHM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" thickBot="1" x14ac:dyDescent="0.4">
      <c r="R3" s="21"/>
    </row>
    <row r="4" spans="2:37" ht="15" thickBot="1" x14ac:dyDescent="0.4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3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119.26</v>
      </c>
      <c r="E5">
        <f>INDEX(tbl_position[], COUNT(tbl_position[Date]), MATCH("Shares_"&amp;C5, pos_header,0))</f>
        <v>0</v>
      </c>
      <c r="F5">
        <f ca="1">tbl_holdings[[#This Row],[Current Price]]*tbl_holdings[[#This Row],['# Holdings]]</f>
        <v>0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44131</v>
      </c>
      <c r="U5" s="63">
        <f ca="1">INDEX(INDIRECT("tbl_"&amp;$U$2), COUNT(Date_List)-$W$2+$S5, MATCH("Adj Close", Price_Header,0))</f>
        <v>10.57</v>
      </c>
      <c r="V5" s="19">
        <f t="shared" ref="V5:V18" ca="1" si="1">INDEX(INDIRECT("tbl_"&amp;$U$2), COUNT(Date_List)-$W$2+$S5, MATCH("volume", Price_Header,0))/1000</f>
        <v>2093.8000000000002</v>
      </c>
      <c r="W5" s="63">
        <f t="shared" ref="W5:W18" ca="1" si="2">INDEX(INDIRECT("tbl_"&amp;$U$2), COUNT(Date_List)-$W$2+$S5, MATCH("EMA", Price_Header,0))</f>
        <v>10.428615387733478</v>
      </c>
      <c r="X5" s="64">
        <f t="shared" ref="X5:X18" ca="1" si="3">INDEX(INDIRECT("tbl_"&amp;$U$2), COUNT(Date_List)-$W$2+$S5, MATCH("RSI", Price_Header,0))</f>
        <v>29.532163742690045</v>
      </c>
      <c r="Y5" s="63">
        <f t="shared" ref="Y5:Y18" ca="1" si="4">INDEX(INDIRECT("tbl_"&amp;$U$2), COUNT(Date_List)-$W$2+$S5, MATCH("BB_Mean", Price_Header,0))</f>
        <v>10.821428571428571</v>
      </c>
      <c r="Z5" s="63">
        <f t="shared" ref="Z5:Z18" ca="1" si="5">INDEX(INDIRECT("tbl_"&amp;$U$2), COUNT(Date_List)-$W$2+$S5, MATCH("BB_upper", Price_Header,0))</f>
        <v>11.701248732872667</v>
      </c>
      <c r="AA5" s="63">
        <f t="shared" ref="AA5:AA18" ca="1" si="6">INDEX(INDIRECT("tbl_"&amp;$U$2), COUNT(Date_List)-$W$2+$S5, MATCH("BB_lower", Price_Header,0))</f>
        <v>9.9416084099844753</v>
      </c>
      <c r="AB5" s="19" t="str">
        <f ca="1">TEXT(T5, "mm/dd")</f>
        <v>10/27</v>
      </c>
      <c r="AC5" s="19">
        <v>70</v>
      </c>
      <c r="AD5" s="20">
        <v>30</v>
      </c>
      <c r="AG5">
        <f>0+Dashboard!V3</f>
        <v>35</v>
      </c>
      <c r="AH5" s="8">
        <f>IF(AG5=0, DATE(2020, 9, 9),INDEX(tbl_position[], AG5, MATCH("DATE", pos_header, 0)))</f>
        <v>44132</v>
      </c>
      <c r="AI5" s="126">
        <f ca="1">IF(AG5=0, 100000, INDEX(tbl_position[Total_Net_Asset], AG5))</f>
        <v>90212.040000000008</v>
      </c>
      <c r="AJ5" s="126">
        <f>IF(AG5=0, 100000, INDEX(tbl_position[Cash_Holding], AG5))</f>
        <v>10520.53</v>
      </c>
      <c r="AK5" t="str">
        <f>TEXT(AH5, "mm/dd")</f>
        <v>10/28</v>
      </c>
    </row>
    <row r="6" spans="2:37" x14ac:dyDescent="0.3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27.9</v>
      </c>
      <c r="E6">
        <f>INDEX(tbl_position[], COUNT(tbl_position[Date]), MATCH("Shares_"&amp;C6, pos_header,0))</f>
        <v>0</v>
      </c>
      <c r="F6">
        <f ca="1">tbl_holdings[[#This Row],[Current Price]]*tbl_holdings[[#This Row],['# Holdings]]</f>
        <v>0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ca="1">INDEX(INDIRECT("tbl_"&amp;$U$2), COUNT(Date_List)-$W$2+$S6, 1)</f>
        <v>44132</v>
      </c>
      <c r="U6" s="53">
        <f t="shared" ref="U6:U18" ca="1" si="8">INDEX(INDIRECT("tbl_"&amp;$U$2), COUNT(Date_List)-$W$2+$S6, MATCH("Adj Close", Price_Header,0))</f>
        <v>10.029999999999999</v>
      </c>
      <c r="V6" s="21">
        <f t="shared" ca="1" si="1"/>
        <v>2281.8000000000002</v>
      </c>
      <c r="W6" s="53">
        <f t="shared" ca="1" si="2"/>
        <v>10.38875384896013</v>
      </c>
      <c r="X6" s="54">
        <f t="shared" ca="1" si="3"/>
        <v>27.223719676549848</v>
      </c>
      <c r="Y6" s="53">
        <f t="shared" ca="1" si="4"/>
        <v>10.700714285714286</v>
      </c>
      <c r="Z6" s="53">
        <f t="shared" ca="1" si="5"/>
        <v>11.510404227727772</v>
      </c>
      <c r="AA6" s="53">
        <f t="shared" ca="1" si="6"/>
        <v>9.8910243437007992</v>
      </c>
      <c r="AB6" s="21" t="str">
        <f t="shared" ref="AB6:AB18" ca="1" si="9">TEXT(T6, "mm/dd")</f>
        <v>10/28</v>
      </c>
      <c r="AC6" s="21">
        <v>70</v>
      </c>
      <c r="AD6" s="15">
        <v>30</v>
      </c>
      <c r="AG6" s="47">
        <f>1+Dashboard!V3</f>
        <v>36</v>
      </c>
      <c r="AH6" s="8">
        <f>IF(AG6=0, DATE(2020, 9, 9),INDEX(tbl_position[], AG6, MATCH("DATE", pos_header, 0)))</f>
        <v>44133</v>
      </c>
      <c r="AI6" s="126">
        <f ca="1">IF(AG6=0, 100000, INDEX(tbl_position[Total_Net_Asset], AG6))</f>
        <v>84039.59</v>
      </c>
      <c r="AJ6" s="126">
        <f>IF(AG6=0, 100000, INDEX(tbl_position[Cash_Holding], AG6))</f>
        <v>48119.54</v>
      </c>
      <c r="AK6" t="str">
        <f>TEXT(AH6, "mm/dd")</f>
        <v>10/29</v>
      </c>
    </row>
    <row r="7" spans="2:37" x14ac:dyDescent="0.35">
      <c r="B7">
        <v>3</v>
      </c>
      <c r="C7" t="str">
        <f t="shared" si="0"/>
        <v>FDX</v>
      </c>
      <c r="D7">
        <f t="shared" ca="1" si="7"/>
        <v>271.91000000000003</v>
      </c>
      <c r="E7">
        <f>INDEX(tbl_position[], COUNT(tbl_position[Date]), MATCH("Shares_"&amp;C7, pos_header,0))</f>
        <v>0</v>
      </c>
      <c r="F7">
        <f ca="1">tbl_holdings[[#This Row],[Current Price]]*tbl_holdings[[#This Row],['# Holdings]]</f>
        <v>0</v>
      </c>
      <c r="J7">
        <v>3</v>
      </c>
      <c r="K7" s="8">
        <f t="shared" ref="K7:K10" si="10">K6+7</f>
        <v>44097</v>
      </c>
      <c r="L7" s="8">
        <f t="shared" ref="L7:L10" si="11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ref="T7:T18" ca="1" si="12">INDEX(INDIRECT("tbl_"&amp;$U$2), COUNT(Date_List)-$W$2+$S7, 1)</f>
        <v>44133</v>
      </c>
      <c r="U7" s="53">
        <f t="shared" ca="1" si="8"/>
        <v>10.9</v>
      </c>
      <c r="V7" s="21">
        <f t="shared" ca="1" si="1"/>
        <v>2088.6</v>
      </c>
      <c r="W7" s="53">
        <f t="shared" ca="1" si="2"/>
        <v>10.439878464064117</v>
      </c>
      <c r="X7" s="54">
        <f t="shared" ca="1" si="3"/>
        <v>43.822843822843836</v>
      </c>
      <c r="Y7" s="53">
        <f t="shared" ca="1" si="4"/>
        <v>10.662857142857144</v>
      </c>
      <c r="Z7" s="53">
        <f t="shared" ca="1" si="5"/>
        <v>11.368545179028654</v>
      </c>
      <c r="AA7" s="53">
        <f t="shared" ca="1" si="6"/>
        <v>9.9571691066856332</v>
      </c>
      <c r="AB7" s="21" t="str">
        <f t="shared" ca="1" si="9"/>
        <v>10/29</v>
      </c>
      <c r="AC7" s="21">
        <v>70</v>
      </c>
      <c r="AD7" s="15">
        <v>30</v>
      </c>
      <c r="AG7" s="47">
        <f>2+Dashboard!V3</f>
        <v>37</v>
      </c>
      <c r="AH7" s="8">
        <f>IF(AG7=0, DATE(2020, 9, 9),INDEX(tbl_position[], AG7, MATCH("DATE", pos_header, 0)))</f>
        <v>44134</v>
      </c>
      <c r="AI7" s="126">
        <f ca="1">IF(AG7=0, 100000, INDEX(tbl_position[Total_Net_Asset], AG7))</f>
        <v>83691.59</v>
      </c>
      <c r="AJ7" s="126">
        <f>IF(AG7=0, 100000, INDEX(tbl_position[Cash_Holding], AG7))</f>
        <v>48119.54</v>
      </c>
      <c r="AK7" t="str">
        <f>TEXT(AH7, "mm/dd")</f>
        <v>10/30</v>
      </c>
    </row>
    <row r="8" spans="2:37" x14ac:dyDescent="0.35">
      <c r="B8">
        <v>4</v>
      </c>
      <c r="C8" t="str">
        <f t="shared" si="0"/>
        <v>HD</v>
      </c>
      <c r="D8">
        <f t="shared" ca="1" si="7"/>
        <v>277.17</v>
      </c>
      <c r="E8">
        <f>INDEX(tbl_position[], COUNT(tbl_position[Date]), MATCH("Shares_"&amp;C8, pos_header,0))</f>
        <v>0</v>
      </c>
      <c r="F8">
        <f ca="1">tbl_holdings[[#This Row],[Current Price]]*tbl_holdings[[#This Row],['# Holdings]]</f>
        <v>0</v>
      </c>
      <c r="J8">
        <v>4</v>
      </c>
      <c r="K8" s="8">
        <f t="shared" si="10"/>
        <v>44104</v>
      </c>
      <c r="L8" s="8">
        <f t="shared" si="11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12"/>
        <v>44134</v>
      </c>
      <c r="U8" s="53">
        <f t="shared" ca="1" si="8"/>
        <v>10.75</v>
      </c>
      <c r="V8" s="21">
        <f t="shared" ca="1" si="1"/>
        <v>2182.3000000000002</v>
      </c>
      <c r="W8" s="53">
        <f t="shared" ca="1" si="2"/>
        <v>10.470890617657705</v>
      </c>
      <c r="X8" s="54">
        <f t="shared" ca="1" si="3"/>
        <v>46.078431372549019</v>
      </c>
      <c r="Y8" s="53">
        <f t="shared" ca="1" si="4"/>
        <v>10.64</v>
      </c>
      <c r="Z8" s="53">
        <f t="shared" ca="1" si="5"/>
        <v>11.308638110697352</v>
      </c>
      <c r="AA8" s="53">
        <f t="shared" ca="1" si="6"/>
        <v>9.9713618893026492</v>
      </c>
      <c r="AB8" s="21" t="str">
        <f t="shared" ca="1" si="9"/>
        <v>10/30</v>
      </c>
      <c r="AC8" s="21">
        <v>70</v>
      </c>
      <c r="AD8" s="15">
        <v>30</v>
      </c>
      <c r="AG8" s="47">
        <f>3+Dashboard!V3</f>
        <v>38</v>
      </c>
      <c r="AH8" s="8">
        <f>IF(AG8=0, DATE(2020, 9, 9),INDEX(tbl_position[], AG8, MATCH("DATE", pos_header, 0)))</f>
        <v>44137</v>
      </c>
      <c r="AI8" s="126">
        <f ca="1">IF(AG8=0, 100000, INDEX(tbl_position[Total_Net_Asset], AG8))</f>
        <v>85011.66</v>
      </c>
      <c r="AJ8" s="126">
        <f>IF(AG8=0, 100000, INDEX(tbl_position[Cash_Holding], AG8))</f>
        <v>48119.54</v>
      </c>
      <c r="AK8" t="str">
        <f t="shared" ref="AK8:AK22" si="13">TEXT(AH8, "mm/dd")</f>
        <v>11/02</v>
      </c>
    </row>
    <row r="9" spans="2:37" x14ac:dyDescent="0.35">
      <c r="B9">
        <v>5</v>
      </c>
      <c r="C9" t="str">
        <f t="shared" si="0"/>
        <v>IBM</v>
      </c>
      <c r="D9">
        <f t="shared" ca="1" si="7"/>
        <v>116.85</v>
      </c>
      <c r="E9">
        <f>INDEX(tbl_position[], COUNT(tbl_position[Date]), MATCH("Shares_"&amp;C9, pos_header,0))</f>
        <v>0</v>
      </c>
      <c r="F9">
        <f ca="1">tbl_holdings[[#This Row],[Current Price]]*tbl_holdings[[#This Row],['# Holdings]]</f>
        <v>0</v>
      </c>
      <c r="J9">
        <v>5</v>
      </c>
      <c r="K9" s="8">
        <f t="shared" si="10"/>
        <v>44111</v>
      </c>
      <c r="L9" s="8">
        <f t="shared" si="11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31651.430000000004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6343.04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19751</v>
      </c>
      <c r="S9" s="14">
        <v>5</v>
      </c>
      <c r="T9" s="52">
        <f t="shared" ca="1" si="12"/>
        <v>44137</v>
      </c>
      <c r="U9" s="53">
        <f t="shared" ca="1" si="8"/>
        <v>11.32</v>
      </c>
      <c r="V9" s="21">
        <f t="shared" ca="1" si="1"/>
        <v>2800.2</v>
      </c>
      <c r="W9" s="53">
        <f t="shared" ca="1" si="2"/>
        <v>10.555801555891934</v>
      </c>
      <c r="X9" s="54">
        <f t="shared" ca="1" si="3"/>
        <v>53.376906318082796</v>
      </c>
      <c r="Y9" s="53">
        <f t="shared" ca="1" si="4"/>
        <v>10.662142857142856</v>
      </c>
      <c r="Z9" s="53">
        <f t="shared" ca="1" si="5"/>
        <v>11.400464386910667</v>
      </c>
      <c r="AA9" s="53">
        <f t="shared" ca="1" si="6"/>
        <v>9.9238213273750446</v>
      </c>
      <c r="AB9" s="21" t="str">
        <f t="shared" ca="1" si="9"/>
        <v>11/02</v>
      </c>
      <c r="AC9" s="21">
        <v>70</v>
      </c>
      <c r="AD9" s="15">
        <v>30</v>
      </c>
      <c r="AG9" s="47">
        <f>4+Dashboard!V3</f>
        <v>39</v>
      </c>
      <c r="AH9" s="8">
        <f>IF(AG9=0, DATE(2020, 9, 9),INDEX(tbl_position[], AG9, MATCH("DATE", pos_header, 0)))</f>
        <v>44138</v>
      </c>
      <c r="AI9" s="126">
        <f ca="1">IF(AG9=0, 100000, INDEX(tbl_position[Total_Net_Asset], AG9))</f>
        <v>85507.65</v>
      </c>
      <c r="AJ9" s="126">
        <f>IF(AG9=0, 100000, INDEX(tbl_position[Cash_Holding], AG9))</f>
        <v>47299.02</v>
      </c>
      <c r="AK9" t="str">
        <f t="shared" si="13"/>
        <v>11/03</v>
      </c>
    </row>
    <row r="10" spans="2:37" x14ac:dyDescent="0.35">
      <c r="B10">
        <v>6</v>
      </c>
      <c r="C10" t="str">
        <f t="shared" si="0"/>
        <v>NKLA</v>
      </c>
      <c r="D10">
        <f t="shared" ca="1" si="7"/>
        <v>21.18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0"/>
        <v>44118</v>
      </c>
      <c r="L10" s="8">
        <f t="shared" si="11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27.09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2736.09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12"/>
        <v>44138</v>
      </c>
      <c r="U10" s="53">
        <f t="shared" ca="1" si="8"/>
        <v>11.58</v>
      </c>
      <c r="V10" s="21">
        <f t="shared" ca="1" si="1"/>
        <v>3022.6</v>
      </c>
      <c r="W10" s="53">
        <f t="shared" ca="1" si="2"/>
        <v>10.65822140030274</v>
      </c>
      <c r="X10" s="54">
        <f t="shared" ca="1" si="3"/>
        <v>55.991735537190081</v>
      </c>
      <c r="Y10" s="53">
        <f t="shared" ca="1" si="4"/>
        <v>10.703571428571431</v>
      </c>
      <c r="Z10" s="53">
        <f t="shared" ca="1" si="5"/>
        <v>11.576395567801081</v>
      </c>
      <c r="AA10" s="53">
        <f t="shared" ca="1" si="6"/>
        <v>9.8307472893417813</v>
      </c>
      <c r="AB10" s="21" t="str">
        <f t="shared" ca="1" si="9"/>
        <v>11/03</v>
      </c>
      <c r="AC10" s="21">
        <v>70</v>
      </c>
      <c r="AD10" s="15">
        <v>30</v>
      </c>
      <c r="AG10" s="47">
        <f>5+Dashboard!V3</f>
        <v>40</v>
      </c>
      <c r="AH10" s="8">
        <f>IF(AG10=0, DATE(2020, 9, 9),INDEX(tbl_position[], AG10, MATCH("DATE", pos_header, 0)))</f>
        <v>44139</v>
      </c>
      <c r="AI10" s="126">
        <f ca="1">IF(AG10=0, 100000, INDEX(tbl_position[Total_Net_Asset], AG10))</f>
        <v>122681.8</v>
      </c>
      <c r="AJ10" s="126">
        <f>IF(AG10=0, 100000, INDEX(tbl_position[Cash_Holding], AG10))</f>
        <v>47255.839999999997</v>
      </c>
      <c r="AK10" t="str">
        <f t="shared" si="13"/>
        <v>11/04</v>
      </c>
    </row>
    <row r="11" spans="2:37" x14ac:dyDescent="0.35">
      <c r="B11">
        <v>7</v>
      </c>
      <c r="C11" t="str">
        <f t="shared" ref="C11:C16" si="14">INDEX(Symbol,B11)</f>
        <v>ORCL</v>
      </c>
      <c r="D11">
        <f t="shared" ref="D11:D16" ca="1" si="15">INDEX(INDIRECT("tbl_"&amp;C11),COUNT(INDIRECT("tbl_"&amp;C11&amp;"[Date]")), MATCH("Adj close", Price_Header,0))</f>
        <v>56.91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J11">
        <v>7</v>
      </c>
      <c r="K11" s="8">
        <f t="shared" ref="K11:L13" si="16">K10+7</f>
        <v>44125</v>
      </c>
      <c r="L11" s="8">
        <f t="shared" si="16"/>
        <v>44131</v>
      </c>
      <c r="M11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16465.73</v>
      </c>
      <c r="N11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4896</v>
      </c>
      <c r="O11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11850</v>
      </c>
      <c r="P11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1" s="14">
        <v>7</v>
      </c>
      <c r="T11" s="52">
        <f t="shared" ca="1" si="12"/>
        <v>44139</v>
      </c>
      <c r="U11" s="53">
        <f t="shared" ca="1" si="8"/>
        <v>11.16</v>
      </c>
      <c r="V11" s="21">
        <f t="shared" ca="1" si="1"/>
        <v>3368.2</v>
      </c>
      <c r="W11" s="53">
        <f t="shared" ca="1" si="2"/>
        <v>10.708399260272465</v>
      </c>
      <c r="X11" s="54">
        <f t="shared" ca="1" si="3"/>
        <v>51.816443594646266</v>
      </c>
      <c r="Y11" s="53">
        <f t="shared" ca="1" si="4"/>
        <v>10.717142857142859</v>
      </c>
      <c r="Z11" s="53">
        <f t="shared" ca="1" si="5"/>
        <v>11.613406162253535</v>
      </c>
      <c r="AA11" s="53">
        <f t="shared" ca="1" si="6"/>
        <v>9.8208795520321832</v>
      </c>
      <c r="AB11" s="21" t="str">
        <f t="shared" ca="1" si="9"/>
        <v>11/04</v>
      </c>
      <c r="AC11" s="21">
        <v>70</v>
      </c>
      <c r="AD11" s="15">
        <v>30</v>
      </c>
      <c r="AG11" s="47">
        <f>6+Dashboard!V3</f>
        <v>41</v>
      </c>
      <c r="AH11" s="8">
        <f>IF(AG11=0, DATE(2020, 9, 9),INDEX(tbl_position[], AG11, MATCH("DATE", pos_header, 0)))</f>
        <v>44140</v>
      </c>
      <c r="AI11" s="126">
        <f ca="1">IF(AG11=0, 100000, INDEX(tbl_position[Total_Net_Asset], AG11))</f>
        <v>88192.540000000023</v>
      </c>
      <c r="AJ11" s="126">
        <f>IF(AG11=0, 100000, INDEX(tbl_position[Cash_Holding], AG11))</f>
        <v>7783.74</v>
      </c>
      <c r="AK11" t="str">
        <f t="shared" si="13"/>
        <v>11/05</v>
      </c>
    </row>
    <row r="12" spans="2:37" x14ac:dyDescent="0.35">
      <c r="B12">
        <v>8</v>
      </c>
      <c r="C12" t="str">
        <f t="shared" si="14"/>
        <v>RIOT</v>
      </c>
      <c r="D12">
        <f t="shared" ca="1" si="15"/>
        <v>3.98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J12">
        <v>8</v>
      </c>
      <c r="K12" s="8">
        <f t="shared" si="16"/>
        <v>44132</v>
      </c>
      <c r="L12" s="8">
        <f t="shared" si="16"/>
        <v>44138</v>
      </c>
      <c r="M12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23488.65</v>
      </c>
      <c r="N12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70690.48</v>
      </c>
      <c r="O12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27947</v>
      </c>
      <c r="P12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40129</v>
      </c>
      <c r="S12" s="14">
        <v>8</v>
      </c>
      <c r="T12" s="52">
        <f t="shared" ca="1" si="12"/>
        <v>44140</v>
      </c>
      <c r="U12" s="53">
        <f t="shared" ca="1" si="8"/>
        <v>11.85</v>
      </c>
      <c r="V12" s="21">
        <f t="shared" ca="1" si="1"/>
        <v>6537</v>
      </c>
      <c r="W12" s="53">
        <f t="shared" ca="1" si="2"/>
        <v>10.82255933424522</v>
      </c>
      <c r="X12" s="54">
        <f t="shared" ca="1" si="3"/>
        <v>65.891472868217022</v>
      </c>
      <c r="Y12" s="53">
        <f t="shared" ca="1" si="4"/>
        <v>10.834285714285715</v>
      </c>
      <c r="Z12" s="53">
        <f t="shared" ca="1" si="5"/>
        <v>11.863810303171711</v>
      </c>
      <c r="AA12" s="53">
        <f t="shared" ca="1" si="6"/>
        <v>9.8047611253997182</v>
      </c>
      <c r="AB12" s="21" t="str">
        <f t="shared" ca="1" si="9"/>
        <v>11/05</v>
      </c>
      <c r="AC12" s="21">
        <v>70</v>
      </c>
      <c r="AD12" s="15">
        <v>30</v>
      </c>
      <c r="AG12" s="131">
        <v>12</v>
      </c>
      <c r="AH12" s="132">
        <f>IF(AG12=0, DATE(2020, 9, 9),INDEX(tbl_position[], AG12, MATCH("DATE", pos_header, 0)))</f>
        <v>44099</v>
      </c>
      <c r="AI12" s="133">
        <f>IF(AG12=0, 100000, INDEX(tbl_position[Total_Net_Asset], AG12))</f>
        <v>33648.26</v>
      </c>
      <c r="AJ12" s="133">
        <f>IF(AG12=0, 100000, INDEX(tbl_position[Cash_Holding], AG12))</f>
        <v>43226.16</v>
      </c>
      <c r="AK12" s="134" t="str">
        <f t="shared" si="13"/>
        <v>09/25</v>
      </c>
    </row>
    <row r="13" spans="2:37" x14ac:dyDescent="0.35">
      <c r="B13">
        <v>9</v>
      </c>
      <c r="C13" t="str">
        <f t="shared" si="14"/>
        <v>SPXS</v>
      </c>
      <c r="D13">
        <f t="shared" ca="1" si="15"/>
        <v>4.5599999999999996</v>
      </c>
      <c r="E13">
        <f>INDEX(tbl_position[], COUNT(tbl_position[Date]), MATCH("Shares_"&amp;C13, pos_header,0))</f>
        <v>4075</v>
      </c>
      <c r="F13">
        <f ca="1">tbl_holdings[[#This Row],[Current Price]]*tbl_holdings[[#This Row],['# Holdings]]</f>
        <v>18582</v>
      </c>
      <c r="J13">
        <v>9</v>
      </c>
      <c r="K13" s="8">
        <f t="shared" si="16"/>
        <v>44139</v>
      </c>
      <c r="L13" s="8">
        <f t="shared" si="16"/>
        <v>44145</v>
      </c>
      <c r="M13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85630.6</v>
      </c>
      <c r="N13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32873.269999999997</v>
      </c>
      <c r="O13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3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3" s="14">
        <v>9</v>
      </c>
      <c r="T13" s="52">
        <f t="shared" ca="1" si="12"/>
        <v>44141</v>
      </c>
      <c r="U13" s="53">
        <f t="shared" ca="1" si="8"/>
        <v>13.65</v>
      </c>
      <c r="V13" s="21">
        <f t="shared" ca="1" si="1"/>
        <v>12386</v>
      </c>
      <c r="W13" s="53">
        <f t="shared" ca="1" si="2"/>
        <v>11.105303400820699</v>
      </c>
      <c r="X13" s="54">
        <f t="shared" ca="1" si="3"/>
        <v>75.36231884057969</v>
      </c>
      <c r="Y13" s="53">
        <f t="shared" ca="1" si="4"/>
        <v>11.084285714285715</v>
      </c>
      <c r="Z13" s="53">
        <f t="shared" ca="1" si="5"/>
        <v>12.841008437220307</v>
      </c>
      <c r="AA13" s="53">
        <f t="shared" ca="1" si="6"/>
        <v>9.3275629913511224</v>
      </c>
      <c r="AB13" s="21" t="str">
        <f t="shared" ca="1" si="9"/>
        <v>11/06</v>
      </c>
      <c r="AC13" s="21">
        <v>70</v>
      </c>
      <c r="AD13" s="15">
        <v>30</v>
      </c>
      <c r="AG13" s="131">
        <v>13</v>
      </c>
      <c r="AH13" s="132">
        <f>IF(AG13=0, DATE(2020, 9, 9),INDEX(tbl_position[], AG13, MATCH("DATE", pos_header, 0)))</f>
        <v>44102</v>
      </c>
      <c r="AI13" s="133">
        <f>IF(AG13=0, 100000, INDEX(tbl_position[Total_Net_Asset], AG13))</f>
        <v>33696.159999999996</v>
      </c>
      <c r="AJ13" s="133">
        <f>IF(AG13=0, 100000, INDEX(tbl_position[Cash_Holding], AG13))</f>
        <v>48905.06</v>
      </c>
      <c r="AK13" s="134" t="str">
        <f t="shared" si="13"/>
        <v>09/28</v>
      </c>
    </row>
    <row r="14" spans="2:37" x14ac:dyDescent="0.35">
      <c r="B14">
        <v>10</v>
      </c>
      <c r="C14" t="str">
        <f t="shared" si="14"/>
        <v>WMT</v>
      </c>
      <c r="D14">
        <f t="shared" ca="1" si="15"/>
        <v>150.54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12"/>
        <v>44144</v>
      </c>
      <c r="U14" s="53">
        <f t="shared" ca="1" si="8"/>
        <v>13.59</v>
      </c>
      <c r="V14" s="21">
        <f t="shared" ca="1" si="1"/>
        <v>6739.1</v>
      </c>
      <c r="W14" s="53">
        <f t="shared" ca="1" si="2"/>
        <v>11.353773060738629</v>
      </c>
      <c r="X14" s="54">
        <f t="shared" ca="1" si="3"/>
        <v>73.809523809523796</v>
      </c>
      <c r="Y14" s="53">
        <f t="shared" ca="1" si="4"/>
        <v>11.312857142857144</v>
      </c>
      <c r="Z14" s="53">
        <f t="shared" ca="1" si="5"/>
        <v>13.467985960301759</v>
      </c>
      <c r="AA14" s="53">
        <f t="shared" ca="1" si="6"/>
        <v>9.1577283254125295</v>
      </c>
      <c r="AB14" s="21" t="str">
        <f t="shared" ca="1" si="9"/>
        <v>11/09</v>
      </c>
      <c r="AC14" s="21">
        <v>70</v>
      </c>
      <c r="AD14" s="15">
        <v>30</v>
      </c>
      <c r="AG14" s="131">
        <v>14</v>
      </c>
      <c r="AH14" s="132">
        <f>IF(AG14=0, DATE(2020, 9, 9),INDEX(tbl_position[], AG14, MATCH("DATE", pos_header, 0)))</f>
        <v>44103</v>
      </c>
      <c r="AI14" s="133">
        <f>IF(AG14=0, 100000, INDEX(tbl_position[Total_Net_Asset], AG14))</f>
        <v>33696.159999999996</v>
      </c>
      <c r="AJ14" s="133">
        <f>IF(AG14=0, 100000, INDEX(tbl_position[Cash_Holding], AG14))</f>
        <v>48905.06</v>
      </c>
      <c r="AK14" s="134" t="str">
        <f t="shared" si="13"/>
        <v>09/29</v>
      </c>
    </row>
    <row r="15" spans="2:37" x14ac:dyDescent="0.35">
      <c r="B15">
        <v>11</v>
      </c>
      <c r="C15" t="str">
        <f t="shared" si="14"/>
        <v>AMD</v>
      </c>
      <c r="D15">
        <f t="shared" ca="1" si="15"/>
        <v>82.3</v>
      </c>
      <c r="E15">
        <f>INDEX(tbl_position[], COUNT(tbl_position[Date]), MATCH("Shares_"&amp;C15, pos_header,0))</f>
        <v>150</v>
      </c>
      <c r="F15" s="61">
        <f ca="1">tbl_holdings[[#This Row],[Current Price]]*tbl_holdings[[#This Row],['# Holdings]]</f>
        <v>12345</v>
      </c>
      <c r="S15" s="14">
        <v>11</v>
      </c>
      <c r="T15" s="52">
        <f t="shared" ca="1" si="12"/>
        <v>44145</v>
      </c>
      <c r="U15" s="53">
        <f t="shared" ca="1" si="8"/>
        <v>13.05</v>
      </c>
      <c r="V15" s="21">
        <f t="shared" ca="1" si="1"/>
        <v>4434.8999999999996</v>
      </c>
      <c r="W15" s="53">
        <f t="shared" ca="1" si="2"/>
        <v>11.523395754664765</v>
      </c>
      <c r="X15" s="54">
        <f t="shared" ca="1" si="3"/>
        <v>65.568862275449106</v>
      </c>
      <c r="Y15" s="53">
        <f t="shared" ca="1" si="4"/>
        <v>11.46142857142857</v>
      </c>
      <c r="Z15" s="53">
        <f t="shared" ca="1" si="5"/>
        <v>13.794203177479778</v>
      </c>
      <c r="AA15" s="53">
        <f t="shared" ca="1" si="6"/>
        <v>9.128653965377362</v>
      </c>
      <c r="AB15" s="21" t="str">
        <f t="shared" ca="1" si="9"/>
        <v>11/10</v>
      </c>
      <c r="AC15" s="21">
        <v>70</v>
      </c>
      <c r="AD15" s="15">
        <v>30</v>
      </c>
      <c r="AG15" s="131">
        <v>15</v>
      </c>
      <c r="AH15" s="132">
        <f>IF(AG15=0, DATE(2020, 9, 9),INDEX(tbl_position[], AG15, MATCH("DATE", pos_header, 0)))</f>
        <v>44104</v>
      </c>
      <c r="AI15" s="133">
        <f>IF(AG15=0, 100000, INDEX(tbl_position[Total_Net_Asset], AG15))</f>
        <v>33696.159999999996</v>
      </c>
      <c r="AJ15" s="133">
        <f>IF(AG15=0, 100000, INDEX(tbl_position[Cash_Holding], AG15))</f>
        <v>48905.06</v>
      </c>
      <c r="AK15" s="134" t="str">
        <f t="shared" si="13"/>
        <v>09/30</v>
      </c>
    </row>
    <row r="16" spans="2:37" x14ac:dyDescent="0.35">
      <c r="B16">
        <v>12</v>
      </c>
      <c r="C16" t="str">
        <f t="shared" si="14"/>
        <v>CVX</v>
      </c>
      <c r="D16">
        <f t="shared" ca="1" si="15"/>
        <v>82.18</v>
      </c>
      <c r="E16">
        <f>INDEX(tbl_position[], COUNT(tbl_position[Date]), MATCH("Shares_"&amp;C16, pos_header,0))</f>
        <v>0</v>
      </c>
      <c r="F16" s="61">
        <f ca="1">tbl_holdings[[#This Row],[Current Price]]*tbl_holdings[[#This Row],['# Holdings]]</f>
        <v>0</v>
      </c>
      <c r="S16" s="14">
        <v>12</v>
      </c>
      <c r="T16" s="52">
        <f t="shared" ca="1" si="12"/>
        <v>44146</v>
      </c>
      <c r="U16" s="53">
        <f t="shared" ca="1" si="8"/>
        <v>13.1</v>
      </c>
      <c r="V16" s="21">
        <f t="shared" ca="1" si="1"/>
        <v>3014</v>
      </c>
      <c r="W16" s="53">
        <f t="shared" ca="1" si="2"/>
        <v>11.68105617919829</v>
      </c>
      <c r="X16" s="54">
        <f t="shared" ca="1" si="3"/>
        <v>69.654088050314471</v>
      </c>
      <c r="Y16" s="53">
        <f t="shared" ca="1" si="4"/>
        <v>11.639999999999999</v>
      </c>
      <c r="Z16" s="53">
        <f t="shared" ca="1" si="5"/>
        <v>14.069460212285223</v>
      </c>
      <c r="AA16" s="53">
        <f t="shared" ca="1" si="6"/>
        <v>9.2105397877147741</v>
      </c>
      <c r="AB16" s="21" t="str">
        <f t="shared" ca="1" si="9"/>
        <v>11/11</v>
      </c>
      <c r="AC16" s="21">
        <v>70</v>
      </c>
      <c r="AD16" s="15">
        <v>30</v>
      </c>
      <c r="AG16" s="131">
        <v>16</v>
      </c>
      <c r="AH16" s="132">
        <f>IF(AG16=0, DATE(2020, 9, 9),INDEX(tbl_position[], AG16, MATCH("DATE", pos_header, 0)))</f>
        <v>44105</v>
      </c>
      <c r="AI16" s="133">
        <f>IF(AG16=0, 100000, INDEX(tbl_position[Total_Net_Asset], AG16))</f>
        <v>33696.159999999996</v>
      </c>
      <c r="AJ16" s="133">
        <f>IF(AG16=0, 100000, INDEX(tbl_position[Cash_Holding], AG16))</f>
        <v>48905.06</v>
      </c>
      <c r="AK16" s="134" t="str">
        <f t="shared" si="13"/>
        <v>10/01</v>
      </c>
    </row>
    <row r="17" spans="2:37" x14ac:dyDescent="0.35">
      <c r="B17">
        <v>13</v>
      </c>
      <c r="C17" t="str">
        <f t="shared" ref="C17:C22" si="17">INDEX(Symbol,B17)</f>
        <v>QCOM</v>
      </c>
      <c r="D17">
        <f t="shared" ref="D17:D22" ca="1" si="18">INDEX(INDIRECT("tbl_"&amp;C17),COUNT(INDIRECT("tbl_"&amp;C17&amp;"[Date]")), MATCH("Adj close", Price_Header,0))</f>
        <v>145.07</v>
      </c>
      <c r="E17">
        <f>INDEX(tbl_position[], COUNT(tbl_position[Date]), MATCH("Shares_"&amp;C17, pos_header,0))</f>
        <v>0</v>
      </c>
      <c r="F17" s="61">
        <f ca="1">tbl_holdings[[#This Row],[Current Price]]*tbl_holdings[[#This Row],['# Holdings]]</f>
        <v>0</v>
      </c>
      <c r="S17" s="14">
        <v>13</v>
      </c>
      <c r="T17" s="52">
        <f t="shared" ca="1" si="12"/>
        <v>44147</v>
      </c>
      <c r="U17" s="53">
        <f t="shared" ca="1" si="8"/>
        <v>13.18</v>
      </c>
      <c r="V17" s="21">
        <f t="shared" ca="1" si="1"/>
        <v>4179.6000000000004</v>
      </c>
      <c r="W17" s="53">
        <f t="shared" ca="1" si="2"/>
        <v>11.830950561278462</v>
      </c>
      <c r="X17" s="54">
        <f t="shared" ca="1" si="3"/>
        <v>69.12</v>
      </c>
      <c r="Y17" s="53">
        <f t="shared" ca="1" si="4"/>
        <v>11.810714285714285</v>
      </c>
      <c r="Z17" s="53">
        <f t="shared" ca="1" si="5"/>
        <v>14.317535310109859</v>
      </c>
      <c r="AA17" s="53">
        <f t="shared" ca="1" si="6"/>
        <v>9.3038932613187111</v>
      </c>
      <c r="AB17" s="21" t="str">
        <f t="shared" ca="1" si="9"/>
        <v>11/12</v>
      </c>
      <c r="AC17" s="21">
        <v>70</v>
      </c>
      <c r="AD17" s="15">
        <v>30</v>
      </c>
      <c r="AG17" s="131">
        <v>17</v>
      </c>
      <c r="AH17" s="132">
        <f>IF(AG17=0, DATE(2020, 9, 9),INDEX(tbl_position[], AG17, MATCH("DATE", pos_header, 0)))</f>
        <v>44106</v>
      </c>
      <c r="AI17" s="133">
        <f>IF(AG17=0, 100000, INDEX(tbl_position[Total_Net_Asset], AG17))</f>
        <v>33696.159999999996</v>
      </c>
      <c r="AJ17" s="133">
        <f>IF(AG17=0, 100000, INDEX(tbl_position[Cash_Holding], AG17))</f>
        <v>48905.06</v>
      </c>
      <c r="AK17" s="134" t="str">
        <f t="shared" si="13"/>
        <v>10/02</v>
      </c>
    </row>
    <row r="18" spans="2:37" ht="15" thickBot="1" x14ac:dyDescent="0.4">
      <c r="B18">
        <v>14</v>
      </c>
      <c r="C18" t="str">
        <f t="shared" si="17"/>
        <v>F</v>
      </c>
      <c r="D18">
        <f t="shared" ca="1" si="18"/>
        <v>8.3800000000000008</v>
      </c>
      <c r="E18">
        <f>INDEX(tbl_position[], COUNT(tbl_position[Date]), MATCH("Shares_"&amp;C18, pos_header,0))</f>
        <v>0</v>
      </c>
      <c r="F18" s="61">
        <f ca="1">tbl_holdings[[#This Row],[Current Price]]*tbl_holdings[[#This Row],['# Holdings]]</f>
        <v>0</v>
      </c>
      <c r="S18" s="16">
        <v>14</v>
      </c>
      <c r="T18" s="55">
        <f t="shared" ca="1" si="12"/>
        <v>44148</v>
      </c>
      <c r="U18" s="56">
        <f t="shared" ca="1" si="8"/>
        <v>13.45</v>
      </c>
      <c r="V18" s="22">
        <f t="shared" ca="1" si="1"/>
        <v>1195.7090000000001</v>
      </c>
      <c r="W18" s="56">
        <f t="shared" ca="1" si="2"/>
        <v>11.992855505150615</v>
      </c>
      <c r="X18" s="57">
        <f t="shared" ca="1" si="3"/>
        <v>72.28346456692914</v>
      </c>
      <c r="Y18" s="56">
        <f t="shared" ca="1" si="4"/>
        <v>12.012857142857143</v>
      </c>
      <c r="Z18" s="56">
        <f t="shared" ca="1" si="5"/>
        <v>14.562118617467771</v>
      </c>
      <c r="AA18" s="56">
        <f t="shared" ca="1" si="6"/>
        <v>9.4635956682465157</v>
      </c>
      <c r="AB18" s="22" t="str">
        <f t="shared" ca="1" si="9"/>
        <v>11/13</v>
      </c>
      <c r="AC18" s="22">
        <v>70</v>
      </c>
      <c r="AD18" s="17">
        <v>30</v>
      </c>
      <c r="AG18" s="131">
        <v>18</v>
      </c>
      <c r="AH18" s="132">
        <f>IF(AG18=0, DATE(2020, 9, 9),INDEX(tbl_position[], AG18, MATCH("DATE", pos_header, 0)))</f>
        <v>44109</v>
      </c>
      <c r="AI18" s="133">
        <f>IF(AG18=0, 100000, INDEX(tbl_position[Total_Net_Asset], AG18))</f>
        <v>33696.159999999996</v>
      </c>
      <c r="AJ18" s="133">
        <f>IF(AG18=0, 100000, INDEX(tbl_position[Cash_Holding], AG18))</f>
        <v>48905.06</v>
      </c>
      <c r="AK18" s="134" t="str">
        <f t="shared" si="13"/>
        <v>10/05</v>
      </c>
    </row>
    <row r="19" spans="2:37" x14ac:dyDescent="0.35">
      <c r="B19">
        <v>15</v>
      </c>
      <c r="C19" t="str">
        <f t="shared" si="17"/>
        <v>LTHM</v>
      </c>
      <c r="D19">
        <f t="shared" ca="1" si="18"/>
        <v>13.45</v>
      </c>
      <c r="E19">
        <f>INDEX(tbl_position[], COUNT(tbl_position[Date]), MATCH("Shares_"&amp;C19, pos_header,0))</f>
        <v>0</v>
      </c>
      <c r="F19" s="61">
        <f ca="1">tbl_holdings[[#This Row],[Current Price]]*tbl_holdings[[#This Row],['# Holdings]]</f>
        <v>0</v>
      </c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G19" s="131">
        <v>19</v>
      </c>
      <c r="AH19" s="132">
        <f>IF(AG19=0, DATE(2020, 9, 9),INDEX(tbl_position[], AG19, MATCH("DATE", pos_header, 0)))</f>
        <v>44110</v>
      </c>
      <c r="AI19" s="133">
        <f>IF(AG19=0, 100000, INDEX(tbl_position[Total_Net_Asset], AG19))</f>
        <v>33696.159999999996</v>
      </c>
      <c r="AJ19" s="133">
        <f>IF(AG19=0, 100000, INDEX(tbl_position[Cash_Holding], AG19))</f>
        <v>48905.06</v>
      </c>
      <c r="AK19" s="134" t="str">
        <f t="shared" si="13"/>
        <v>10/06</v>
      </c>
    </row>
    <row r="20" spans="2:37" x14ac:dyDescent="0.35">
      <c r="B20">
        <v>16</v>
      </c>
      <c r="C20" t="str">
        <f t="shared" si="17"/>
        <v>RCL</v>
      </c>
      <c r="D20">
        <f t="shared" ca="1" si="18"/>
        <v>69.599999999999994</v>
      </c>
      <c r="E20">
        <f>INDEX(tbl_position[], COUNT(tbl_position[Date]), MATCH("Shares_"&amp;C20, pos_header,0))</f>
        <v>0</v>
      </c>
      <c r="F20" s="61">
        <f ca="1">tbl_holdings[[#This Row],[Current Price]]*tbl_holdings[[#This Row],['# Holdings]]</f>
        <v>0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G20" s="131">
        <v>20</v>
      </c>
      <c r="AH20" s="132">
        <f>IF(AG20=0, DATE(2020, 9, 9),INDEX(tbl_position[], AG20, MATCH("DATE", pos_header, 0)))</f>
        <v>44111</v>
      </c>
      <c r="AI20" s="133">
        <f ca="1">IF(AG20=0, 100000, INDEX(tbl_position[Total_Net_Asset], AG20))</f>
        <v>99793.280300000013</v>
      </c>
      <c r="AJ20" s="133">
        <f>IF(AG20=0, 100000, INDEX(tbl_position[Cash_Holding], AG20))</f>
        <v>33339.18</v>
      </c>
      <c r="AK20" s="134" t="str">
        <f t="shared" si="13"/>
        <v>10/07</v>
      </c>
    </row>
    <row r="21" spans="2:37" x14ac:dyDescent="0.35">
      <c r="B21">
        <v>17</v>
      </c>
      <c r="C21" t="str">
        <f t="shared" si="17"/>
        <v>OIL</v>
      </c>
      <c r="D21">
        <f t="shared" ca="1" si="18"/>
        <v>12</v>
      </c>
      <c r="E21">
        <f>INDEX(tbl_position[], COUNT(tbl_position[Date]), MATCH("Shares_"&amp;C21, pos_header,0))</f>
        <v>0</v>
      </c>
      <c r="F21" s="61">
        <f ca="1">tbl_holdings[[#This Row],[Current Price]]*tbl_holdings[[#This Row],['# Holdings]]</f>
        <v>0</v>
      </c>
      <c r="AG21" s="131">
        <v>21</v>
      </c>
      <c r="AH21" s="132">
        <f>IF(AG21=0, DATE(2020, 9, 9),INDEX(tbl_position[], AG21, MATCH("DATE", pos_header, 0)))</f>
        <v>44112</v>
      </c>
      <c r="AI21" s="133">
        <f ca="1">IF(AG21=0, 100000, INDEX(tbl_position[Total_Net_Asset], AG21))</f>
        <v>100556.28030000001</v>
      </c>
      <c r="AJ21" s="133">
        <f>IF(AG21=0, 100000, INDEX(tbl_position[Cash_Holding], AG21))</f>
        <v>33339.18</v>
      </c>
      <c r="AK21" s="134" t="str">
        <f t="shared" si="13"/>
        <v>10/08</v>
      </c>
    </row>
    <row r="22" spans="2:37" x14ac:dyDescent="0.35">
      <c r="B22">
        <v>18</v>
      </c>
      <c r="C22" t="str">
        <f t="shared" si="17"/>
        <v>VIXY</v>
      </c>
      <c r="D22">
        <f t="shared" ca="1" si="18"/>
        <v>15.64</v>
      </c>
      <c r="E22">
        <f>INDEX(tbl_position[], COUNT(tbl_position[Date]), MATCH("Shares_"&amp;C22, pos_header,0))</f>
        <v>-450</v>
      </c>
      <c r="F22" s="61">
        <f ca="1">tbl_holdings[[#This Row],[Current Price]]*tbl_holdings[[#This Row],['# Holdings]]</f>
        <v>-7038</v>
      </c>
      <c r="AG22" s="131">
        <v>22</v>
      </c>
      <c r="AH22" s="132">
        <f>IF(AG22=0, DATE(2020, 9, 9),INDEX(tbl_position[], AG22, MATCH("DATE", pos_header, 0)))</f>
        <v>44113</v>
      </c>
      <c r="AI22" s="133">
        <f ca="1">IF(AG22=0, 100000, INDEX(tbl_position[Total_Net_Asset], AG22))</f>
        <v>98173.229700000011</v>
      </c>
      <c r="AJ22" s="133">
        <f>IF(AG22=0, 100000, INDEX(tbl_position[Cash_Holding], AG22))</f>
        <v>31784.13</v>
      </c>
      <c r="AK22" s="134" t="str">
        <f t="shared" si="13"/>
        <v>10/09</v>
      </c>
    </row>
    <row r="23" spans="2:37" x14ac:dyDescent="0.35">
      <c r="B23">
        <v>19</v>
      </c>
      <c r="C23" t="str">
        <f t="shared" ref="C23" si="19">INDEX(Symbol,B23)</f>
        <v>LLNW</v>
      </c>
      <c r="D23">
        <f t="shared" ref="D23" ca="1" si="20">INDEX(INDIRECT("tbl_"&amp;C23),COUNT(INDIRECT("tbl_"&amp;C23&amp;"[Date]")), MATCH("Adj close", Price_Header,0))</f>
        <v>3.98</v>
      </c>
      <c r="E23">
        <f>INDEX(tbl_position[], COUNT(tbl_position[Date]), MATCH("Shares_"&amp;C23, pos_header,0))</f>
        <v>3770</v>
      </c>
      <c r="F23" s="61">
        <f ca="1">tbl_holdings[[#This Row],[Current Price]]*tbl_holdings[[#This Row],['# Holdings]]</f>
        <v>15004.6</v>
      </c>
      <c r="AG23" s="131">
        <v>23</v>
      </c>
      <c r="AH23" s="132">
        <f>IF(AG23=0, DATE(2020, 9, 9),INDEX(tbl_position[], AG23, MATCH("DATE", pos_header, 0)))</f>
        <v>44116</v>
      </c>
      <c r="AI23" s="133">
        <f ca="1">IF(AG23=0, 100000, INDEX(tbl_position[Total_Net_Asset], AG23))</f>
        <v>98763.870351999998</v>
      </c>
      <c r="AJ23" s="133">
        <f>IF(AG23=0, 100000, INDEX(tbl_position[Cash_Holding], AG23))</f>
        <v>30418.26</v>
      </c>
      <c r="AK23" s="134" t="str">
        <f t="shared" ref="AK23:AK31" si="21">TEXT(AH23, "mm/dd")</f>
        <v>10/12</v>
      </c>
    </row>
    <row r="24" spans="2:37" x14ac:dyDescent="0.35">
      <c r="B24">
        <v>20</v>
      </c>
      <c r="C24" t="str">
        <f t="shared" ref="C24" si="22">INDEX(Symbol,B24)</f>
        <v>PLL</v>
      </c>
      <c r="D24">
        <f t="shared" ref="D24" ca="1" si="23">INDEX(INDIRECT("tbl_"&amp;C24),COUNT(INDIRECT("tbl_"&amp;C24&amp;"[Date]")), MATCH("Adj close", Price_Header,0))</f>
        <v>26.72</v>
      </c>
      <c r="E24">
        <f>INDEX(tbl_position[], COUNT(tbl_position[Date]), MATCH("Shares_"&amp;C24, pos_header,0))</f>
        <v>1000</v>
      </c>
      <c r="F24" s="61">
        <f ca="1">tbl_holdings[[#This Row],[Current Price]]*tbl_holdings[[#This Row],['# Holdings]]</f>
        <v>26720</v>
      </c>
      <c r="AG24" s="131">
        <v>24</v>
      </c>
      <c r="AH24" s="132">
        <f>IF(AG24=0, DATE(2020, 9, 9),INDEX(tbl_position[], AG24, MATCH("DATE", pos_header, 0)))</f>
        <v>44117</v>
      </c>
      <c r="AI24" s="133">
        <f ca="1">IF(AG24=0, 100000, INDEX(tbl_position[Total_Net_Asset], AG24))</f>
        <v>98774.760001999995</v>
      </c>
      <c r="AJ24" s="133">
        <f>IF(AG24=0, 100000, INDEX(tbl_position[Cash_Holding], AG24))</f>
        <v>19414.259999999998</v>
      </c>
      <c r="AK24" s="134" t="str">
        <f t="shared" si="21"/>
        <v>10/13</v>
      </c>
    </row>
    <row r="25" spans="2:37" x14ac:dyDescent="0.35">
      <c r="B25">
        <v>21</v>
      </c>
      <c r="C25" t="str">
        <f t="shared" ref="C25" si="24">INDEX(Symbol,B25)</f>
        <v>APHA</v>
      </c>
      <c r="D25">
        <f t="shared" ref="D25" ca="1" si="25">INDEX(INDIRECT("tbl_"&amp;C25),COUNT(INDIRECT("tbl_"&amp;C25&amp;"[Date]")), MATCH("Adj close", Price_Header,0))</f>
        <v>5.66</v>
      </c>
      <c r="E25">
        <f>INDEX(tbl_position[], COUNT(tbl_position[Date]), MATCH("Shares_"&amp;C25, pos_header,0))</f>
        <v>2500</v>
      </c>
      <c r="F25" s="61">
        <f ca="1">tbl_holdings[[#This Row],[Current Price]]*tbl_holdings[[#This Row],['# Holdings]]</f>
        <v>14150</v>
      </c>
      <c r="AG25" s="131">
        <v>25</v>
      </c>
      <c r="AH25" s="132">
        <f>IF(AG25=0, DATE(2020, 9, 9),INDEX(tbl_position[], AG25, MATCH("DATE", pos_header, 0)))</f>
        <v>44118</v>
      </c>
      <c r="AI25" s="133">
        <f ca="1">IF(AG25=0, 100000, INDEX(tbl_position[Total_Net_Asset], AG25))</f>
        <v>98608.309796999994</v>
      </c>
      <c r="AJ25" s="133">
        <f>IF(AG25=0, 100000, INDEX(tbl_position[Cash_Holding], AG25))</f>
        <v>19414.259999999998</v>
      </c>
      <c r="AK25" s="134" t="str">
        <f t="shared" si="21"/>
        <v>10/14</v>
      </c>
    </row>
    <row r="26" spans="2:37" x14ac:dyDescent="0.35">
      <c r="B26">
        <v>22</v>
      </c>
      <c r="C26" t="str">
        <f t="shared" ref="C26" si="26">INDEX(Symbol,B26)</f>
        <v>BEP</v>
      </c>
      <c r="D26">
        <f t="shared" ref="D26" ca="1" si="27">INDEX(INDIRECT("tbl_"&amp;C26),COUNT(INDIRECT("tbl_"&amp;C26&amp;"[Date]")), MATCH("Adj close", Price_Header,0))</f>
        <v>57.6</v>
      </c>
      <c r="E26">
        <f>INDEX(tbl_position[], COUNT(tbl_position[Date]), MATCH("Shares_"&amp;C26, pos_header,0))</f>
        <v>200</v>
      </c>
      <c r="F26" s="61">
        <f ca="1">tbl_holdings[[#This Row],[Current Price]]*tbl_holdings[[#This Row],['# Holdings]]</f>
        <v>11520</v>
      </c>
      <c r="AG26" s="131">
        <v>26</v>
      </c>
      <c r="AH26" s="132">
        <f>IF(AG26=0, DATE(2020, 9, 9),INDEX(tbl_position[], AG26, MATCH("DATE", pos_header, 0)))</f>
        <v>44119</v>
      </c>
      <c r="AI26" s="133">
        <f ca="1">IF(AG26=0, 100000, INDEX(tbl_position[Total_Net_Asset], AG26))</f>
        <v>98607.869852000003</v>
      </c>
      <c r="AJ26" s="133">
        <f>IF(AG26=0, 100000, INDEX(tbl_position[Cash_Holding], AG26))</f>
        <v>19414.259999999998</v>
      </c>
      <c r="AK26" s="134" t="str">
        <f t="shared" si="21"/>
        <v>10/15</v>
      </c>
    </row>
    <row r="27" spans="2:37" x14ac:dyDescent="0.35">
      <c r="B27" t="s">
        <v>162</v>
      </c>
      <c r="F27">
        <f ca="1">SUBTOTAL(109,tbl_holdings[Total])</f>
        <v>91283.6</v>
      </c>
      <c r="AG27" s="131">
        <v>27</v>
      </c>
      <c r="AH27" s="132">
        <f>IF(AG27=0, DATE(2020, 9, 9),INDEX(tbl_position[], AG27, MATCH("DATE", pos_header, 0)))</f>
        <v>44120</v>
      </c>
      <c r="AI27" s="133">
        <f ca="1">IF(AG27=0, 100000, INDEX(tbl_position[Total_Net_Asset], AG27))</f>
        <v>98851.749549</v>
      </c>
      <c r="AJ27" s="133">
        <f>IF(AG27=0, 100000, INDEX(tbl_position[Cash_Holding], AG27))</f>
        <v>19414.259999999998</v>
      </c>
      <c r="AK27" s="134" t="str">
        <f t="shared" si="21"/>
        <v>10/16</v>
      </c>
    </row>
    <row r="28" spans="2:37" x14ac:dyDescent="0.35">
      <c r="AG28" s="131">
        <v>28</v>
      </c>
      <c r="AH28" s="132">
        <f>IF(AG28=0, DATE(2020, 9, 9),INDEX(tbl_position[], AG28, MATCH("DATE", pos_header, 0)))</f>
        <v>44123</v>
      </c>
      <c r="AI28" s="133">
        <f ca="1">IF(AG28=0, 100000, INDEX(tbl_position[Total_Net_Asset], AG28))</f>
        <v>95298.139798999997</v>
      </c>
      <c r="AJ28" s="133">
        <f>IF(AG28=0, 100000, INDEX(tbl_position[Cash_Holding], AG28))</f>
        <v>19414.259999999998</v>
      </c>
      <c r="AK28" s="134" t="str">
        <f t="shared" si="21"/>
        <v>10/19</v>
      </c>
    </row>
    <row r="29" spans="2:37" x14ac:dyDescent="0.35">
      <c r="AG29" s="131">
        <v>29</v>
      </c>
      <c r="AH29" s="132">
        <f>IF(AG29=0, DATE(2020, 9, 9),INDEX(tbl_position[], AG29, MATCH("DATE", pos_header, 0)))</f>
        <v>44124</v>
      </c>
      <c r="AI29" s="133">
        <f ca="1">IF(AG29=0, 100000, INDEX(tbl_position[Total_Net_Asset], AG29))</f>
        <v>97597.040000000008</v>
      </c>
      <c r="AJ29" s="133">
        <f>IF(AG29=0, 100000, INDEX(tbl_position[Cash_Holding], AG29))</f>
        <v>22113.26</v>
      </c>
      <c r="AK29" s="134" t="str">
        <f t="shared" si="21"/>
        <v>10/20</v>
      </c>
    </row>
    <row r="30" spans="2:37" x14ac:dyDescent="0.35">
      <c r="AG30" s="131">
        <v>30</v>
      </c>
      <c r="AH30" s="132">
        <f>IF(AG30=0, DATE(2020, 9, 9),INDEX(tbl_position[], AG30, MATCH("DATE", pos_header, 0)))</f>
        <v>44125</v>
      </c>
      <c r="AI30" s="133">
        <f ca="1">IF(AG30=0, 100000, INDEX(tbl_position[Total_Net_Asset], AG30))</f>
        <v>96751.47</v>
      </c>
      <c r="AJ30" s="133">
        <f>IF(AG30=0, 100000, INDEX(tbl_position[Cash_Holding], AG30))</f>
        <v>5632.53</v>
      </c>
      <c r="AK30" s="134" t="str">
        <f t="shared" si="21"/>
        <v>10/21</v>
      </c>
    </row>
    <row r="31" spans="2:37" x14ac:dyDescent="0.35">
      <c r="AG31" s="131">
        <v>31</v>
      </c>
      <c r="AH31" s="132">
        <f>IF(AG31=0, DATE(2020, 9, 9),INDEX(tbl_position[], AG31, MATCH("DATE", pos_header, 0)))</f>
        <v>44126</v>
      </c>
      <c r="AI31" s="133">
        <f ca="1">IF(AG31=0, 100000, INDEX(tbl_position[Total_Net_Asset], AG31))</f>
        <v>96503.13</v>
      </c>
      <c r="AJ31" s="133">
        <f>IF(AG31=0, 100000, INDEX(tbl_position[Cash_Holding], AG31))</f>
        <v>5632.53</v>
      </c>
      <c r="AK31" s="134" t="str">
        <f t="shared" si="21"/>
        <v>10/22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1"/>
  <sheetViews>
    <sheetView topLeftCell="K1" workbookViewId="0">
      <selection activeCell="B101" sqref="B101"/>
    </sheetView>
  </sheetViews>
  <sheetFormatPr defaultRowHeight="14.5" x14ac:dyDescent="0.35"/>
  <cols>
    <col min="1" max="1" width="9.7265625" customWidth="1"/>
    <col min="2" max="2" width="15.54296875" customWidth="1"/>
    <col min="3" max="3" width="17.81640625" customWidth="1"/>
    <col min="4" max="4" width="14.1796875" customWidth="1"/>
    <col min="5" max="5" width="15.81640625" customWidth="1"/>
    <col min="6" max="6" width="10.26953125" customWidth="1"/>
    <col min="7" max="7" width="17.26953125" customWidth="1"/>
    <col min="8" max="8" width="15" hidden="1" customWidth="1"/>
    <col min="9" max="9" width="13.1796875" hidden="1" customWidth="1"/>
    <col min="10" max="10" width="13" hidden="1" customWidth="1"/>
    <col min="11" max="11" width="17.453125" customWidth="1"/>
    <col min="12" max="12" width="15.54296875" customWidth="1"/>
    <col min="13" max="13" width="15.453125" customWidth="1"/>
    <col min="14" max="14" width="13.453125" customWidth="1"/>
    <col min="15" max="15" width="18.453125" customWidth="1"/>
    <col min="16" max="16" width="19.1796875" customWidth="1"/>
    <col min="17" max="17" width="20.453125" customWidth="1"/>
    <col min="18" max="18" width="18.7265625" customWidth="1"/>
    <col min="19" max="19" width="21" customWidth="1"/>
  </cols>
  <sheetData>
    <row r="1" spans="1:19" ht="21" x14ac:dyDescent="0.5">
      <c r="A1" s="41" t="s">
        <v>15</v>
      </c>
      <c r="B1" s="41"/>
      <c r="C1" s="41"/>
      <c r="D1" s="41"/>
      <c r="E1" s="41"/>
    </row>
    <row r="2" spans="1:19" ht="15.5" x14ac:dyDescent="0.35">
      <c r="A2" t="s">
        <v>112</v>
      </c>
    </row>
    <row r="4" spans="1:19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3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3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3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3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3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3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3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3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3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3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3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3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3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3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3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3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3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3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3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3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3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3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3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3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3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3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3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3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3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3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3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3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3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3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3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3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3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3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3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3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3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3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3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3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3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3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3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3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3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3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3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3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3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35">
      <c r="A58" t="s">
        <v>217</v>
      </c>
      <c r="B58" t="s">
        <v>311</v>
      </c>
      <c r="C58" t="s">
        <v>311</v>
      </c>
      <c r="D58" t="s">
        <v>34</v>
      </c>
      <c r="F58" s="47">
        <v>350</v>
      </c>
      <c r="G58" s="48">
        <v>24.73</v>
      </c>
      <c r="H58" s="61">
        <f>VALUE(LEFT(tbl_transaction[[#This Row],[Order Date]],FIND("/",tbl_transaction[[#This Row],[Order Date]])-1))</f>
        <v>10</v>
      </c>
      <c r="I5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8" s="61" t="str">
        <f>MID(tbl_transaction[[#This Row],[Order Date]], FIND("/",tbl_transaction[[#This Row],[Order Date]], FIND("/", tbl_transaction[[#This Row],[Order Date]])+1)+1, 2)</f>
        <v>20</v>
      </c>
      <c r="K58" s="61">
        <f>VALUE(LEFT(tbl_transaction[[#This Row],[Transaction Date]],FIND("/",tbl_transaction[[#This Row],[Transaction Date]])-1))</f>
        <v>10</v>
      </c>
      <c r="L5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8" s="61" t="str">
        <f>MID(tbl_transaction[[#This Row],[Transaction Date]], FIND("/",tbl_transaction[[#This Row],[Transaction Date]], FIND("/", tbl_transaction[[#This Row],[Transaction Date]])+1)+1, 2)</f>
        <v>20</v>
      </c>
      <c r="N58" s="9">
        <f>DATE(tbl_transaction[[#This Row],[Year_order]]+2000, tbl_transaction[[#This Row],[Month_order]], tbl_transaction[[#This Row],[Date_order]])</f>
        <v>44111</v>
      </c>
      <c r="O58" s="9">
        <f>DATE(tbl_transaction[[#This Row],[Year_Transact]]+2000,tbl_transaction[[#This Row],[Month_Transact]],tbl_transaction[[#This Row],[Date_Transact]])</f>
        <v>44111</v>
      </c>
      <c r="P5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-8655.5</v>
      </c>
      <c r="R5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-8655.5</v>
      </c>
      <c r="S5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-350</v>
      </c>
    </row>
    <row r="59" spans="1:19" x14ac:dyDescent="0.35">
      <c r="A59" t="s">
        <v>312</v>
      </c>
      <c r="B59" t="s">
        <v>313</v>
      </c>
      <c r="C59" t="s">
        <v>313</v>
      </c>
      <c r="D59" t="s">
        <v>19</v>
      </c>
      <c r="F59" s="47">
        <v>150</v>
      </c>
      <c r="G59" s="48">
        <v>86.37</v>
      </c>
      <c r="H59" s="61">
        <f>VALUE(LEFT(tbl_transaction[[#This Row],[Order Date]],FIND("/",tbl_transaction[[#This Row],[Order Date]])-1))</f>
        <v>10</v>
      </c>
      <c r="I5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9" s="61" t="str">
        <f>MID(tbl_transaction[[#This Row],[Order Date]], FIND("/",tbl_transaction[[#This Row],[Order Date]], FIND("/", tbl_transaction[[#This Row],[Order Date]])+1)+1, 2)</f>
        <v>20</v>
      </c>
      <c r="K59" s="61">
        <f>VALUE(LEFT(tbl_transaction[[#This Row],[Transaction Date]],FIND("/",tbl_transaction[[#This Row],[Transaction Date]])-1))</f>
        <v>10</v>
      </c>
      <c r="L5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9" s="61" t="str">
        <f>MID(tbl_transaction[[#This Row],[Transaction Date]], FIND("/",tbl_transaction[[#This Row],[Transaction Date]], FIND("/", tbl_transaction[[#This Row],[Transaction Date]])+1)+1, 2)</f>
        <v>20</v>
      </c>
      <c r="N59" s="9">
        <f>DATE(tbl_transaction[[#This Row],[Year_order]]+2000, tbl_transaction[[#This Row],[Month_order]], tbl_transaction[[#This Row],[Date_order]])</f>
        <v>44111</v>
      </c>
      <c r="O59" s="9">
        <f>DATE(tbl_transaction[[#This Row],[Year_Transact]]+2000,tbl_transaction[[#This Row],[Month_Transact]],tbl_transaction[[#This Row],[Date_Transact]])</f>
        <v>44111</v>
      </c>
      <c r="P5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-12955.5</v>
      </c>
      <c r="Q5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12955.5</v>
      </c>
      <c r="R5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60" spans="1:19" x14ac:dyDescent="0.35">
      <c r="A60" t="s">
        <v>217</v>
      </c>
      <c r="B60" t="s">
        <v>314</v>
      </c>
      <c r="C60" t="s">
        <v>314</v>
      </c>
      <c r="D60" t="s">
        <v>34</v>
      </c>
      <c r="F60" s="47">
        <v>150</v>
      </c>
      <c r="G60" s="48">
        <v>24.67</v>
      </c>
      <c r="H60" s="61">
        <f>VALUE(LEFT(tbl_transaction[[#This Row],[Order Date]],FIND("/",tbl_transaction[[#This Row],[Order Date]])-1))</f>
        <v>10</v>
      </c>
      <c r="I6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60" s="61" t="str">
        <f>MID(tbl_transaction[[#This Row],[Order Date]], FIND("/",tbl_transaction[[#This Row],[Order Date]], FIND("/", tbl_transaction[[#This Row],[Order Date]])+1)+1, 2)</f>
        <v>20</v>
      </c>
      <c r="K60" s="61">
        <f>VALUE(LEFT(tbl_transaction[[#This Row],[Transaction Date]],FIND("/",tbl_transaction[[#This Row],[Transaction Date]])-1))</f>
        <v>10</v>
      </c>
      <c r="L6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60" s="61" t="str">
        <f>MID(tbl_transaction[[#This Row],[Transaction Date]], FIND("/",tbl_transaction[[#This Row],[Transaction Date]], FIND("/", tbl_transaction[[#This Row],[Transaction Date]])+1)+1, 2)</f>
        <v>20</v>
      </c>
      <c r="N60" s="9">
        <f>DATE(tbl_transaction[[#This Row],[Year_order]]+2000, tbl_transaction[[#This Row],[Month_order]], tbl_transaction[[#This Row],[Date_order]])</f>
        <v>44111</v>
      </c>
      <c r="O60" s="9">
        <f>DATE(tbl_transaction[[#This Row],[Year_Transact]]+2000,tbl_transaction[[#This Row],[Month_Transact]],tbl_transaction[[#This Row],[Date_Transact]])</f>
        <v>44111</v>
      </c>
      <c r="P6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-3700.5000000000005</v>
      </c>
      <c r="R6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-3700.5000000000005</v>
      </c>
      <c r="S6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61" spans="1:19" x14ac:dyDescent="0.35">
      <c r="A61" t="s">
        <v>217</v>
      </c>
      <c r="B61" t="s">
        <v>315</v>
      </c>
      <c r="C61" t="s">
        <v>315</v>
      </c>
      <c r="D61" t="s">
        <v>19</v>
      </c>
      <c r="F61" s="47">
        <v>1</v>
      </c>
      <c r="G61" s="48">
        <v>24.67</v>
      </c>
      <c r="H61" s="61">
        <f>VALUE(LEFT(tbl_transaction[[#This Row],[Order Date]],FIND("/",tbl_transaction[[#This Row],[Order Date]])-1))</f>
        <v>10</v>
      </c>
      <c r="I6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1" s="61" t="str">
        <f>MID(tbl_transaction[[#This Row],[Order Date]], FIND("/",tbl_transaction[[#This Row],[Order Date]], FIND("/", tbl_transaction[[#This Row],[Order Date]])+1)+1, 2)</f>
        <v>20</v>
      </c>
      <c r="K61" s="61">
        <f>VALUE(LEFT(tbl_transaction[[#This Row],[Transaction Date]],FIND("/",tbl_transaction[[#This Row],[Transaction Date]])-1))</f>
        <v>10</v>
      </c>
      <c r="L6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1" s="61" t="str">
        <f>MID(tbl_transaction[[#This Row],[Transaction Date]], FIND("/",tbl_transaction[[#This Row],[Transaction Date]], FIND("/", tbl_transaction[[#This Row],[Transaction Date]])+1)+1, 2)</f>
        <v>20</v>
      </c>
      <c r="N61" s="9">
        <f>DATE(tbl_transaction[[#This Row],[Year_order]]+2000, tbl_transaction[[#This Row],[Month_order]], tbl_transaction[[#This Row],[Date_order]])</f>
        <v>44113</v>
      </c>
      <c r="O61" s="9">
        <f>DATE(tbl_transaction[[#This Row],[Year_Transact]]+2000,tbl_transaction[[#This Row],[Month_Transact]],tbl_transaction[[#This Row],[Date_Transact]])</f>
        <v>44113</v>
      </c>
      <c r="P6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-24.67</v>
      </c>
      <c r="Q6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24.67</v>
      </c>
      <c r="R6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2" spans="1:19" x14ac:dyDescent="0.35">
      <c r="A62" t="s">
        <v>217</v>
      </c>
      <c r="B62" t="s">
        <v>316</v>
      </c>
      <c r="C62" t="s">
        <v>316</v>
      </c>
      <c r="D62" t="s">
        <v>34</v>
      </c>
      <c r="F62" s="47">
        <v>300</v>
      </c>
      <c r="G62" s="48">
        <v>24.65</v>
      </c>
      <c r="H62" s="61">
        <f>VALUE(LEFT(tbl_transaction[[#This Row],[Order Date]],FIND("/",tbl_transaction[[#This Row],[Order Date]])-1))</f>
        <v>10</v>
      </c>
      <c r="I6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2" s="61" t="str">
        <f>MID(tbl_transaction[[#This Row],[Order Date]], FIND("/",tbl_transaction[[#This Row],[Order Date]], FIND("/", tbl_transaction[[#This Row],[Order Date]])+1)+1, 2)</f>
        <v>20</v>
      </c>
      <c r="K62" s="61">
        <f>VALUE(LEFT(tbl_transaction[[#This Row],[Transaction Date]],FIND("/",tbl_transaction[[#This Row],[Transaction Date]])-1))</f>
        <v>10</v>
      </c>
      <c r="L6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2" s="61" t="str">
        <f>MID(tbl_transaction[[#This Row],[Transaction Date]], FIND("/",tbl_transaction[[#This Row],[Transaction Date]], FIND("/", tbl_transaction[[#This Row],[Transaction Date]])+1)+1, 2)</f>
        <v>20</v>
      </c>
      <c r="N62" s="9">
        <f>DATE(tbl_transaction[[#This Row],[Year_order]]+2000, tbl_transaction[[#This Row],[Month_order]], tbl_transaction[[#This Row],[Date_order]])</f>
        <v>44113</v>
      </c>
      <c r="O62" s="9">
        <f>DATE(tbl_transaction[[#This Row],[Year_Transact]]+2000,tbl_transaction[[#This Row],[Month_Transact]],tbl_transaction[[#This Row],[Date_Transact]])</f>
        <v>44113</v>
      </c>
      <c r="P6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-7395</v>
      </c>
      <c r="R6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-7395</v>
      </c>
      <c r="S6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</v>
      </c>
    </row>
    <row r="63" spans="1:19" x14ac:dyDescent="0.35">
      <c r="A63" t="s">
        <v>217</v>
      </c>
      <c r="B63" t="s">
        <v>316</v>
      </c>
      <c r="C63" t="s">
        <v>316</v>
      </c>
      <c r="D63" t="s">
        <v>26</v>
      </c>
      <c r="F63" s="47">
        <v>1</v>
      </c>
      <c r="G63" s="48">
        <v>24.65</v>
      </c>
      <c r="H63" s="61">
        <f>VALUE(LEFT(tbl_transaction[[#This Row],[Order Date]],FIND("/",tbl_transaction[[#This Row],[Order Date]])-1))</f>
        <v>10</v>
      </c>
      <c r="I6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3" s="61" t="str">
        <f>MID(tbl_transaction[[#This Row],[Order Date]], FIND("/",tbl_transaction[[#This Row],[Order Date]], FIND("/", tbl_transaction[[#This Row],[Order Date]])+1)+1, 2)</f>
        <v>20</v>
      </c>
      <c r="K63" s="61">
        <f>VALUE(LEFT(tbl_transaction[[#This Row],[Transaction Date]],FIND("/",tbl_transaction[[#This Row],[Transaction Date]])-1))</f>
        <v>10</v>
      </c>
      <c r="L6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3" s="61" t="str">
        <f>MID(tbl_transaction[[#This Row],[Transaction Date]], FIND("/",tbl_transaction[[#This Row],[Transaction Date]], FIND("/", tbl_transaction[[#This Row],[Transaction Date]])+1)+1, 2)</f>
        <v>20</v>
      </c>
      <c r="N63" s="9">
        <f>DATE(tbl_transaction[[#This Row],[Year_order]]+2000, tbl_transaction[[#This Row],[Month_order]], tbl_transaction[[#This Row],[Date_order]])</f>
        <v>44113</v>
      </c>
      <c r="O63" s="9">
        <f>DATE(tbl_transaction[[#This Row],[Year_Transact]]+2000,tbl_transaction[[#This Row],[Month_Transact]],tbl_transaction[[#This Row],[Date_Transact]])</f>
        <v>44113</v>
      </c>
      <c r="P6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24.65</v>
      </c>
      <c r="Q6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-24.65</v>
      </c>
      <c r="R6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</v>
      </c>
    </row>
    <row r="64" spans="1:19" x14ac:dyDescent="0.35">
      <c r="A64" t="s">
        <v>16</v>
      </c>
      <c r="B64" t="s">
        <v>324</v>
      </c>
      <c r="C64" t="s">
        <v>324</v>
      </c>
      <c r="D64" t="s">
        <v>19</v>
      </c>
      <c r="F64" s="47">
        <v>1</v>
      </c>
      <c r="G64" s="48">
        <v>134.68</v>
      </c>
      <c r="H64" s="61">
        <f>VALUE(LEFT(tbl_transaction[[#This Row],[Order Date]],FIND("/",tbl_transaction[[#This Row],[Order Date]])-1))</f>
        <v>10</v>
      </c>
      <c r="I6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4" s="61" t="str">
        <f>MID(tbl_transaction[[#This Row],[Order Date]], FIND("/",tbl_transaction[[#This Row],[Order Date]], FIND("/", tbl_transaction[[#This Row],[Order Date]])+1)+1, 2)</f>
        <v>20</v>
      </c>
      <c r="K64" s="61">
        <f>VALUE(LEFT(tbl_transaction[[#This Row],[Transaction Date]],FIND("/",tbl_transaction[[#This Row],[Transaction Date]])-1))</f>
        <v>10</v>
      </c>
      <c r="L6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4" s="61" t="str">
        <f>MID(tbl_transaction[[#This Row],[Transaction Date]], FIND("/",tbl_transaction[[#This Row],[Transaction Date]], FIND("/", tbl_transaction[[#This Row],[Transaction Date]])+1)+1, 2)</f>
        <v>20</v>
      </c>
      <c r="N64" s="9">
        <f>DATE(tbl_transaction[[#This Row],[Year_order]]+2000, tbl_transaction[[#This Row],[Month_order]], tbl_transaction[[#This Row],[Date_order]])</f>
        <v>44116</v>
      </c>
      <c r="O64" s="9">
        <f>DATE(tbl_transaction[[#This Row],[Year_Transact]]+2000,tbl_transaction[[#This Row],[Month_Transact]],tbl_transaction[[#This Row],[Date_Transact]])</f>
        <v>44116</v>
      </c>
      <c r="P6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-134.68</v>
      </c>
      <c r="Q6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134.68</v>
      </c>
      <c r="R6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5" spans="1:19" x14ac:dyDescent="0.35">
      <c r="A65" t="s">
        <v>321</v>
      </c>
      <c r="B65" t="s">
        <v>325</v>
      </c>
      <c r="C65" t="s">
        <v>325</v>
      </c>
      <c r="D65" t="s">
        <v>19</v>
      </c>
      <c r="F65" s="47">
        <v>100</v>
      </c>
      <c r="G65" s="48">
        <v>74.650000000000006</v>
      </c>
      <c r="H65" s="61">
        <f>VALUE(LEFT(tbl_transaction[[#This Row],[Order Date]],FIND("/",tbl_transaction[[#This Row],[Order Date]])-1))</f>
        <v>10</v>
      </c>
      <c r="I6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5" s="61" t="str">
        <f>MID(tbl_transaction[[#This Row],[Order Date]], FIND("/",tbl_transaction[[#This Row],[Order Date]], FIND("/", tbl_transaction[[#This Row],[Order Date]])+1)+1, 2)</f>
        <v>20</v>
      </c>
      <c r="K65" s="61">
        <f>VALUE(LEFT(tbl_transaction[[#This Row],[Transaction Date]],FIND("/",tbl_transaction[[#This Row],[Transaction Date]])-1))</f>
        <v>10</v>
      </c>
      <c r="L6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5" s="61" t="str">
        <f>MID(tbl_transaction[[#This Row],[Transaction Date]], FIND("/",tbl_transaction[[#This Row],[Transaction Date]], FIND("/", tbl_transaction[[#This Row],[Transaction Date]])+1)+1, 2)</f>
        <v>20</v>
      </c>
      <c r="N65" s="9">
        <f>DATE(tbl_transaction[[#This Row],[Year_order]]+2000, tbl_transaction[[#This Row],[Month_order]], tbl_transaction[[#This Row],[Date_order]])</f>
        <v>44116</v>
      </c>
      <c r="O65" s="9">
        <f>DATE(tbl_transaction[[#This Row],[Year_Transact]]+2000,tbl_transaction[[#This Row],[Month_Transact]],tbl_transaction[[#This Row],[Date_Transact]])</f>
        <v>44116</v>
      </c>
      <c r="P6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-7465.0000000000009</v>
      </c>
      <c r="Q6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7465.0000000000009</v>
      </c>
      <c r="R6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6" spans="1:19" x14ac:dyDescent="0.35">
      <c r="A66" t="s">
        <v>321</v>
      </c>
      <c r="B66" t="s">
        <v>326</v>
      </c>
      <c r="C66" t="s">
        <v>325</v>
      </c>
      <c r="D66" t="s">
        <v>19</v>
      </c>
      <c r="F66" s="47">
        <v>1</v>
      </c>
      <c r="G66" s="48">
        <v>74.58</v>
      </c>
      <c r="H66" s="61">
        <f>VALUE(LEFT(tbl_transaction[[#This Row],[Order Date]],FIND("/",tbl_transaction[[#This Row],[Order Date]])-1))</f>
        <v>10</v>
      </c>
      <c r="I6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6" s="61" t="str">
        <f>MID(tbl_transaction[[#This Row],[Order Date]], FIND("/",tbl_transaction[[#This Row],[Order Date]], FIND("/", tbl_transaction[[#This Row],[Order Date]])+1)+1, 2)</f>
        <v>20</v>
      </c>
      <c r="K66" s="61">
        <f>VALUE(LEFT(tbl_transaction[[#This Row],[Transaction Date]],FIND("/",tbl_transaction[[#This Row],[Transaction Date]])-1))</f>
        <v>10</v>
      </c>
      <c r="L6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6" s="61" t="str">
        <f>MID(tbl_transaction[[#This Row],[Transaction Date]], FIND("/",tbl_transaction[[#This Row],[Transaction Date]], FIND("/", tbl_transaction[[#This Row],[Transaction Date]])+1)+1, 2)</f>
        <v>20</v>
      </c>
      <c r="N66" s="9">
        <f>DATE(tbl_transaction[[#This Row],[Year_order]]+2000, tbl_transaction[[#This Row],[Month_order]], tbl_transaction[[#This Row],[Date_order]])</f>
        <v>44116</v>
      </c>
      <c r="O66" s="9">
        <f>DATE(tbl_transaction[[#This Row],[Year_Transact]]+2000,tbl_transaction[[#This Row],[Month_Transact]],tbl_transaction[[#This Row],[Date_Transact]])</f>
        <v>44116</v>
      </c>
      <c r="P6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-74.58</v>
      </c>
      <c r="Q6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74.58</v>
      </c>
      <c r="R6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7" spans="1:19" x14ac:dyDescent="0.35">
      <c r="A67" t="s">
        <v>16</v>
      </c>
      <c r="B67" t="s">
        <v>327</v>
      </c>
      <c r="C67" t="s">
        <v>327</v>
      </c>
      <c r="D67" t="s">
        <v>26</v>
      </c>
      <c r="F67" s="47">
        <v>51</v>
      </c>
      <c r="G67" s="48">
        <v>123.89</v>
      </c>
      <c r="H67" s="61">
        <f>VALUE(LEFT(tbl_transaction[[#This Row],[Order Date]],FIND("/",tbl_transaction[[#This Row],[Order Date]])-1))</f>
        <v>10</v>
      </c>
      <c r="I6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7" s="61" t="str">
        <f>MID(tbl_transaction[[#This Row],[Order Date]], FIND("/",tbl_transaction[[#This Row],[Order Date]], FIND("/", tbl_transaction[[#This Row],[Order Date]])+1)+1, 2)</f>
        <v>20</v>
      </c>
      <c r="K67" s="61">
        <f>VALUE(LEFT(tbl_transaction[[#This Row],[Transaction Date]],FIND("/",tbl_transaction[[#This Row],[Transaction Date]])-1))</f>
        <v>10</v>
      </c>
      <c r="L6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7" s="61" t="str">
        <f>MID(tbl_transaction[[#This Row],[Transaction Date]], FIND("/",tbl_transaction[[#This Row],[Transaction Date]], FIND("/", tbl_transaction[[#This Row],[Transaction Date]])+1)+1, 2)</f>
        <v>20</v>
      </c>
      <c r="N67" s="9">
        <f>DATE(tbl_transaction[[#This Row],[Year_order]]+2000, tbl_transaction[[#This Row],[Month_order]], tbl_transaction[[#This Row],[Date_order]])</f>
        <v>44116</v>
      </c>
      <c r="O67" s="9">
        <f>DATE(tbl_transaction[[#This Row],[Year_Transact]]+2000,tbl_transaction[[#This Row],[Month_Transact]],tbl_transaction[[#This Row],[Date_Transact]])</f>
        <v>44116</v>
      </c>
      <c r="P6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6318.39</v>
      </c>
      <c r="Q6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-6318.39</v>
      </c>
      <c r="R6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-51</v>
      </c>
    </row>
    <row r="68" spans="1:19" x14ac:dyDescent="0.35">
      <c r="A68" t="s">
        <v>328</v>
      </c>
      <c r="B68" t="s">
        <v>332</v>
      </c>
      <c r="C68" t="s">
        <v>332</v>
      </c>
      <c r="D68" t="s">
        <v>19</v>
      </c>
      <c r="F68" s="47">
        <v>50</v>
      </c>
      <c r="G68" s="48">
        <v>127.42</v>
      </c>
      <c r="H68" s="61">
        <f>VALUE(LEFT(tbl_transaction[[#This Row],[Order Date]],FIND("/",tbl_transaction[[#This Row],[Order Date]])-1))</f>
        <v>10</v>
      </c>
      <c r="I6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8" s="61" t="str">
        <f>MID(tbl_transaction[[#This Row],[Order Date]], FIND("/",tbl_transaction[[#This Row],[Order Date]], FIND("/", tbl_transaction[[#This Row],[Order Date]])+1)+1, 2)</f>
        <v>20</v>
      </c>
      <c r="K68" s="61">
        <f>VALUE(LEFT(tbl_transaction[[#This Row],[Transaction Date]],FIND("/",tbl_transaction[[#This Row],[Transaction Date]])-1))</f>
        <v>10</v>
      </c>
      <c r="L6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8" s="61" t="str">
        <f>MID(tbl_transaction[[#This Row],[Transaction Date]], FIND("/",tbl_transaction[[#This Row],[Transaction Date]], FIND("/", tbl_transaction[[#This Row],[Transaction Date]])+1)+1, 2)</f>
        <v>20</v>
      </c>
      <c r="N68" s="9">
        <f>DATE(tbl_transaction[[#This Row],[Year_order]]+2000, tbl_transaction[[#This Row],[Month_order]], tbl_transaction[[#This Row],[Date_order]])</f>
        <v>44117</v>
      </c>
      <c r="O68" s="9">
        <f>DATE(tbl_transaction[[#This Row],[Year_Transact]]+2000,tbl_transaction[[#This Row],[Month_Transact]],tbl_transaction[[#This Row],[Date_Transact]])</f>
        <v>44117</v>
      </c>
      <c r="P6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-6371</v>
      </c>
      <c r="Q6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6371</v>
      </c>
      <c r="R6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69" spans="1:19" x14ac:dyDescent="0.35">
      <c r="A69" t="s">
        <v>334</v>
      </c>
      <c r="B69" t="s">
        <v>337</v>
      </c>
      <c r="C69" t="s">
        <v>337</v>
      </c>
      <c r="D69" t="s">
        <v>19</v>
      </c>
      <c r="F69" s="47">
        <v>600</v>
      </c>
      <c r="G69" s="48">
        <v>7.71</v>
      </c>
      <c r="H69" s="61">
        <f>VALUE(LEFT(tbl_transaction[[#This Row],[Order Date]],FIND("/",tbl_transaction[[#This Row],[Order Date]])-1))</f>
        <v>10</v>
      </c>
      <c r="I6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9" s="61" t="str">
        <f>MID(tbl_transaction[[#This Row],[Order Date]], FIND("/",tbl_transaction[[#This Row],[Order Date]], FIND("/", tbl_transaction[[#This Row],[Order Date]])+1)+1, 2)</f>
        <v>20</v>
      </c>
      <c r="K69" s="61">
        <f>VALUE(LEFT(tbl_transaction[[#This Row],[Transaction Date]],FIND("/",tbl_transaction[[#This Row],[Transaction Date]])-1))</f>
        <v>10</v>
      </c>
      <c r="L6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9" s="61" t="str">
        <f>MID(tbl_transaction[[#This Row],[Transaction Date]], FIND("/",tbl_transaction[[#This Row],[Transaction Date]], FIND("/", tbl_transaction[[#This Row],[Transaction Date]])+1)+1, 2)</f>
        <v>20</v>
      </c>
      <c r="N69" s="9">
        <f>DATE(tbl_transaction[[#This Row],[Year_order]]+2000, tbl_transaction[[#This Row],[Month_order]], tbl_transaction[[#This Row],[Date_order]])</f>
        <v>44117</v>
      </c>
      <c r="O69" s="9">
        <f>DATE(tbl_transaction[[#This Row],[Year_Transact]]+2000,tbl_transaction[[#This Row],[Month_Transact]],tbl_transaction[[#This Row],[Date_Transact]])</f>
        <v>44117</v>
      </c>
      <c r="P6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-4626</v>
      </c>
      <c r="Q6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4626</v>
      </c>
      <c r="R6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600</v>
      </c>
    </row>
    <row r="70" spans="1:19" x14ac:dyDescent="0.35">
      <c r="A70" t="s">
        <v>236</v>
      </c>
      <c r="B70" t="s">
        <v>338</v>
      </c>
      <c r="C70" t="s">
        <v>338</v>
      </c>
      <c r="D70" t="s">
        <v>19</v>
      </c>
      <c r="F70" s="47">
        <v>1</v>
      </c>
      <c r="G70" s="48">
        <v>27.09</v>
      </c>
      <c r="H70" s="61">
        <f>VALUE(LEFT(tbl_transaction[[#This Row],[Order Date]],FIND("/",tbl_transaction[[#This Row],[Order Date]])-1))</f>
        <v>10</v>
      </c>
      <c r="I7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0" s="61" t="str">
        <f>MID(tbl_transaction[[#This Row],[Order Date]], FIND("/",tbl_transaction[[#This Row],[Order Date]], FIND("/", tbl_transaction[[#This Row],[Order Date]])+1)+1, 2)</f>
        <v>20</v>
      </c>
      <c r="K70" s="61">
        <f>VALUE(LEFT(tbl_transaction[[#This Row],[Transaction Date]],FIND("/",tbl_transaction[[#This Row],[Transaction Date]])-1))</f>
        <v>10</v>
      </c>
      <c r="L7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0" s="61" t="str">
        <f>MID(tbl_transaction[[#This Row],[Transaction Date]], FIND("/",tbl_transaction[[#This Row],[Transaction Date]], FIND("/", tbl_transaction[[#This Row],[Transaction Date]])+1)+1, 2)</f>
        <v>20</v>
      </c>
      <c r="N70" s="9">
        <f>DATE(tbl_transaction[[#This Row],[Year_order]]+2000, tbl_transaction[[#This Row],[Month_order]], tbl_transaction[[#This Row],[Date_order]])</f>
        <v>44123</v>
      </c>
      <c r="O70" s="9">
        <f>DATE(tbl_transaction[[#This Row],[Year_Transact]]+2000,tbl_transaction[[#This Row],[Month_Transact]],tbl_transaction[[#This Row],[Date_Transact]])</f>
        <v>44123</v>
      </c>
      <c r="P7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-27.09</v>
      </c>
      <c r="Q7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27.09</v>
      </c>
      <c r="R7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1" spans="1:19" x14ac:dyDescent="0.35">
      <c r="A71" t="s">
        <v>236</v>
      </c>
      <c r="B71" t="s">
        <v>339</v>
      </c>
      <c r="C71" t="s">
        <v>339</v>
      </c>
      <c r="D71" t="s">
        <v>26</v>
      </c>
      <c r="F71" s="47">
        <v>101</v>
      </c>
      <c r="G71" s="48">
        <v>27.09</v>
      </c>
      <c r="H71" s="61">
        <f>VALUE(LEFT(tbl_transaction[[#This Row],[Order Date]],FIND("/",tbl_transaction[[#This Row],[Order Date]])-1))</f>
        <v>10</v>
      </c>
      <c r="I7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1" s="61" t="str">
        <f>MID(tbl_transaction[[#This Row],[Order Date]], FIND("/",tbl_transaction[[#This Row],[Order Date]], FIND("/", tbl_transaction[[#This Row],[Order Date]])+1)+1, 2)</f>
        <v>20</v>
      </c>
      <c r="K71" s="61">
        <f>VALUE(LEFT(tbl_transaction[[#This Row],[Transaction Date]],FIND("/",tbl_transaction[[#This Row],[Transaction Date]])-1))</f>
        <v>10</v>
      </c>
      <c r="L7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1" s="61" t="str">
        <f>MID(tbl_transaction[[#This Row],[Transaction Date]], FIND("/",tbl_transaction[[#This Row],[Transaction Date]], FIND("/", tbl_transaction[[#This Row],[Transaction Date]])+1)+1, 2)</f>
        <v>20</v>
      </c>
      <c r="N71" s="9">
        <f>DATE(tbl_transaction[[#This Row],[Year_order]]+2000, tbl_transaction[[#This Row],[Month_order]], tbl_transaction[[#This Row],[Date_order]])</f>
        <v>44123</v>
      </c>
      <c r="O71" s="9">
        <f>DATE(tbl_transaction[[#This Row],[Year_Transact]]+2000,tbl_transaction[[#This Row],[Month_Transact]],tbl_transaction[[#This Row],[Date_Transact]])</f>
        <v>44123</v>
      </c>
      <c r="P7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2736.09</v>
      </c>
      <c r="Q7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-2736.09</v>
      </c>
      <c r="R7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72" spans="1:19" x14ac:dyDescent="0.35">
      <c r="A72" t="s">
        <v>20</v>
      </c>
      <c r="B72" t="s">
        <v>340</v>
      </c>
      <c r="C72" t="s">
        <v>340</v>
      </c>
      <c r="D72" t="s">
        <v>31</v>
      </c>
      <c r="F72" s="47">
        <v>3000</v>
      </c>
      <c r="G72" s="48">
        <v>3.95</v>
      </c>
      <c r="H72" s="61">
        <f>VALUE(LEFT(tbl_transaction[[#This Row],[Order Date]],FIND("/",tbl_transaction[[#This Row],[Order Date]])-1))</f>
        <v>10</v>
      </c>
      <c r="I7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2" s="61" t="str">
        <f>MID(tbl_transaction[[#This Row],[Order Date]], FIND("/",tbl_transaction[[#This Row],[Order Date]], FIND("/", tbl_transaction[[#This Row],[Order Date]])+1)+1, 2)</f>
        <v>20</v>
      </c>
      <c r="K72" s="61">
        <f>VALUE(LEFT(tbl_transaction[[#This Row],[Transaction Date]],FIND("/",tbl_transaction[[#This Row],[Transaction Date]])-1))</f>
        <v>10</v>
      </c>
      <c r="L7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2" s="61" t="str">
        <f>MID(tbl_transaction[[#This Row],[Transaction Date]], FIND("/",tbl_transaction[[#This Row],[Transaction Date]], FIND("/", tbl_transaction[[#This Row],[Transaction Date]])+1)+1, 2)</f>
        <v>20</v>
      </c>
      <c r="N72" s="9">
        <f>DATE(tbl_transaction[[#This Row],[Year_order]]+2000, tbl_transaction[[#This Row],[Month_order]], tbl_transaction[[#This Row],[Date_order]])</f>
        <v>44125</v>
      </c>
      <c r="O72" s="9">
        <f>DATE(tbl_transaction[[#This Row],[Year_Transact]]+2000,tbl_transaction[[#This Row],[Month_Transact]],tbl_transaction[[#This Row],[Date_Transact]])</f>
        <v>44125</v>
      </c>
      <c r="P7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11850</v>
      </c>
      <c r="R7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11850</v>
      </c>
      <c r="S7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3000</v>
      </c>
    </row>
    <row r="73" spans="1:19" x14ac:dyDescent="0.35">
      <c r="A73" t="s">
        <v>341</v>
      </c>
      <c r="B73" t="s">
        <v>344</v>
      </c>
      <c r="C73" t="s">
        <v>344</v>
      </c>
      <c r="D73" t="s">
        <v>19</v>
      </c>
      <c r="F73" s="47">
        <v>1</v>
      </c>
      <c r="G73" s="48">
        <v>10.73</v>
      </c>
      <c r="H73" s="61">
        <f>VALUE(LEFT(tbl_transaction[[#This Row],[Order Date]],FIND("/",tbl_transaction[[#This Row],[Order Date]])-1))</f>
        <v>10</v>
      </c>
      <c r="I7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3" s="61" t="str">
        <f>MID(tbl_transaction[[#This Row],[Order Date]], FIND("/",tbl_transaction[[#This Row],[Order Date]], FIND("/", tbl_transaction[[#This Row],[Order Date]])+1)+1, 2)</f>
        <v>20</v>
      </c>
      <c r="K73" s="61">
        <f>VALUE(LEFT(tbl_transaction[[#This Row],[Transaction Date]],FIND("/",tbl_transaction[[#This Row],[Transaction Date]])-1))</f>
        <v>10</v>
      </c>
      <c r="L7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3" s="61" t="str">
        <f>MID(tbl_transaction[[#This Row],[Transaction Date]], FIND("/",tbl_transaction[[#This Row],[Transaction Date]], FIND("/", tbl_transaction[[#This Row],[Transaction Date]])+1)+1, 2)</f>
        <v>20</v>
      </c>
      <c r="N73" s="9">
        <f>DATE(tbl_transaction[[#This Row],[Year_order]]+2000, tbl_transaction[[#This Row],[Month_order]], tbl_transaction[[#This Row],[Date_order]])</f>
        <v>44125</v>
      </c>
      <c r="O73" s="9">
        <f>DATE(tbl_transaction[[#This Row],[Year_Transact]]+2000,tbl_transaction[[#This Row],[Month_Transact]],tbl_transaction[[#This Row],[Date_Transact]])</f>
        <v>44125</v>
      </c>
      <c r="P7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-10.73</v>
      </c>
      <c r="Q7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10.73</v>
      </c>
      <c r="R7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4" spans="1:19" x14ac:dyDescent="0.35">
      <c r="A74" t="s">
        <v>341</v>
      </c>
      <c r="B74" t="s">
        <v>345</v>
      </c>
      <c r="C74" t="s">
        <v>345</v>
      </c>
      <c r="D74" t="s">
        <v>19</v>
      </c>
      <c r="F74" s="47">
        <v>1500</v>
      </c>
      <c r="G74" s="48">
        <v>10.97</v>
      </c>
      <c r="H74" s="61">
        <f>VALUE(LEFT(tbl_transaction[[#This Row],[Order Date]],FIND("/",tbl_transaction[[#This Row],[Order Date]])-1))</f>
        <v>10</v>
      </c>
      <c r="I7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4" s="61" t="str">
        <f>MID(tbl_transaction[[#This Row],[Order Date]], FIND("/",tbl_transaction[[#This Row],[Order Date]], FIND("/", tbl_transaction[[#This Row],[Order Date]])+1)+1, 2)</f>
        <v>20</v>
      </c>
      <c r="K74" s="61">
        <f>VALUE(LEFT(tbl_transaction[[#This Row],[Transaction Date]],FIND("/",tbl_transaction[[#This Row],[Transaction Date]])-1))</f>
        <v>10</v>
      </c>
      <c r="L7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4" s="61" t="str">
        <f>MID(tbl_transaction[[#This Row],[Transaction Date]], FIND("/",tbl_transaction[[#This Row],[Transaction Date]], FIND("/", tbl_transaction[[#This Row],[Transaction Date]])+1)+1, 2)</f>
        <v>20</v>
      </c>
      <c r="N74" s="9">
        <f>DATE(tbl_transaction[[#This Row],[Year_order]]+2000, tbl_transaction[[#This Row],[Month_order]], tbl_transaction[[#This Row],[Date_order]])</f>
        <v>44125</v>
      </c>
      <c r="O74" s="9">
        <f>DATE(tbl_transaction[[#This Row],[Year_Transact]]+2000,tbl_transaction[[#This Row],[Month_Transact]],tbl_transaction[[#This Row],[Date_Transact]])</f>
        <v>44125</v>
      </c>
      <c r="P7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-16455</v>
      </c>
      <c r="Q7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16455</v>
      </c>
      <c r="R7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75" spans="1:19" x14ac:dyDescent="0.35">
      <c r="A75" t="s">
        <v>334</v>
      </c>
      <c r="B75" t="s">
        <v>346</v>
      </c>
      <c r="C75" t="s">
        <v>346</v>
      </c>
      <c r="D75" t="s">
        <v>26</v>
      </c>
      <c r="F75" s="47">
        <v>600</v>
      </c>
      <c r="G75" s="48">
        <v>8.16</v>
      </c>
      <c r="H75" s="61">
        <f>VALUE(LEFT(tbl_transaction[[#This Row],[Order Date]],FIND("/",tbl_transaction[[#This Row],[Order Date]])-1))</f>
        <v>10</v>
      </c>
      <c r="I7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75" s="61" t="str">
        <f>MID(tbl_transaction[[#This Row],[Order Date]], FIND("/",tbl_transaction[[#This Row],[Order Date]], FIND("/", tbl_transaction[[#This Row],[Order Date]])+1)+1, 2)</f>
        <v>20</v>
      </c>
      <c r="K75" s="61">
        <f>VALUE(LEFT(tbl_transaction[[#This Row],[Transaction Date]],FIND("/",tbl_transaction[[#This Row],[Transaction Date]])-1))</f>
        <v>10</v>
      </c>
      <c r="L7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75" s="61" t="str">
        <f>MID(tbl_transaction[[#This Row],[Transaction Date]], FIND("/",tbl_transaction[[#This Row],[Transaction Date]], FIND("/", tbl_transaction[[#This Row],[Transaction Date]])+1)+1, 2)</f>
        <v>20</v>
      </c>
      <c r="N75" s="9">
        <f>DATE(tbl_transaction[[#This Row],[Year_order]]+2000, tbl_transaction[[#This Row],[Month_order]], tbl_transaction[[#This Row],[Date_order]])</f>
        <v>44127</v>
      </c>
      <c r="O75" s="9">
        <f>DATE(tbl_transaction[[#This Row],[Year_Transact]]+2000,tbl_transaction[[#This Row],[Month_Transact]],tbl_transaction[[#This Row],[Date_Transact]])</f>
        <v>44127</v>
      </c>
      <c r="P7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4896</v>
      </c>
      <c r="Q7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-4896</v>
      </c>
      <c r="R7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-600</v>
      </c>
    </row>
    <row r="76" spans="1:19" x14ac:dyDescent="0.35">
      <c r="A76" t="s">
        <v>22</v>
      </c>
      <c r="B76" t="s">
        <v>347</v>
      </c>
      <c r="C76" t="s">
        <v>348</v>
      </c>
      <c r="D76" t="s">
        <v>26</v>
      </c>
      <c r="F76" s="47">
        <v>50</v>
      </c>
      <c r="G76" s="48">
        <v>269.60000000000002</v>
      </c>
      <c r="H76" s="61">
        <f>VALUE(LEFT(tbl_transaction[[#This Row],[Order Date]],FIND("/",tbl_transaction[[#This Row],[Order Date]])-1))</f>
        <v>10</v>
      </c>
      <c r="I7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6" s="61" t="str">
        <f>MID(tbl_transaction[[#This Row],[Order Date]], FIND("/",tbl_transaction[[#This Row],[Order Date]], FIND("/", tbl_transaction[[#This Row],[Order Date]])+1)+1, 2)</f>
        <v>20</v>
      </c>
      <c r="K76" s="61">
        <f>VALUE(LEFT(tbl_transaction[[#This Row],[Transaction Date]],FIND("/",tbl_transaction[[#This Row],[Transaction Date]])-1))</f>
        <v>10</v>
      </c>
      <c r="L7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6" s="61" t="str">
        <f>MID(tbl_transaction[[#This Row],[Transaction Date]], FIND("/",tbl_transaction[[#This Row],[Transaction Date]], FIND("/", tbl_transaction[[#This Row],[Transaction Date]])+1)+1, 2)</f>
        <v>20</v>
      </c>
      <c r="N76" s="9">
        <f>DATE(tbl_transaction[[#This Row],[Year_order]]+2000, tbl_transaction[[#This Row],[Month_order]], tbl_transaction[[#This Row],[Date_order]])</f>
        <v>44133</v>
      </c>
      <c r="O76" s="9">
        <f>DATE(tbl_transaction[[#This Row],[Year_Transact]]+2000,tbl_transaction[[#This Row],[Month_Transact]],tbl_transaction[[#This Row],[Date_Transact]])</f>
        <v>44133</v>
      </c>
      <c r="P7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13480.000000000002</v>
      </c>
      <c r="Q7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-13480.000000000002</v>
      </c>
      <c r="R7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77" spans="1:19" x14ac:dyDescent="0.35">
      <c r="A77" t="s">
        <v>328</v>
      </c>
      <c r="B77" t="s">
        <v>349</v>
      </c>
      <c r="C77" t="s">
        <v>348</v>
      </c>
      <c r="D77" t="s">
        <v>26</v>
      </c>
      <c r="F77" s="47">
        <v>50</v>
      </c>
      <c r="G77" s="48">
        <v>122</v>
      </c>
      <c r="H77" s="61">
        <f>VALUE(LEFT(tbl_transaction[[#This Row],[Order Date]],FIND("/",tbl_transaction[[#This Row],[Order Date]])-1))</f>
        <v>10</v>
      </c>
      <c r="I7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7" s="61" t="str">
        <f>MID(tbl_transaction[[#This Row],[Order Date]], FIND("/",tbl_transaction[[#This Row],[Order Date]], FIND("/", tbl_transaction[[#This Row],[Order Date]])+1)+1, 2)</f>
        <v>20</v>
      </c>
      <c r="K77" s="61">
        <f>VALUE(LEFT(tbl_transaction[[#This Row],[Transaction Date]],FIND("/",tbl_transaction[[#This Row],[Transaction Date]])-1))</f>
        <v>10</v>
      </c>
      <c r="L7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7" s="61" t="str">
        <f>MID(tbl_transaction[[#This Row],[Transaction Date]], FIND("/",tbl_transaction[[#This Row],[Transaction Date]], FIND("/", tbl_transaction[[#This Row],[Transaction Date]])+1)+1, 2)</f>
        <v>20</v>
      </c>
      <c r="N77" s="9">
        <f>DATE(tbl_transaction[[#This Row],[Year_order]]+2000, tbl_transaction[[#This Row],[Month_order]], tbl_transaction[[#This Row],[Date_order]])</f>
        <v>44133</v>
      </c>
      <c r="O77" s="9">
        <f>DATE(tbl_transaction[[#This Row],[Year_Transact]]+2000,tbl_transaction[[#This Row],[Month_Transact]],tbl_transaction[[#This Row],[Date_Transact]])</f>
        <v>44133</v>
      </c>
      <c r="P7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6100</v>
      </c>
      <c r="Q7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-6100</v>
      </c>
      <c r="R7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78" spans="1:19" x14ac:dyDescent="0.35">
      <c r="A78" t="s">
        <v>350</v>
      </c>
      <c r="B78" t="s">
        <v>355</v>
      </c>
      <c r="C78" t="s">
        <v>348</v>
      </c>
      <c r="D78" t="s">
        <v>31</v>
      </c>
      <c r="F78" s="47">
        <v>200</v>
      </c>
      <c r="G78" s="48">
        <v>53.13</v>
      </c>
      <c r="H78" s="61">
        <f>VALUE(LEFT(tbl_transaction[[#This Row],[Order Date]],FIND("/",tbl_transaction[[#This Row],[Order Date]])-1))</f>
        <v>10</v>
      </c>
      <c r="I7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8" s="61" t="str">
        <f>MID(tbl_transaction[[#This Row],[Order Date]], FIND("/",tbl_transaction[[#This Row],[Order Date]], FIND("/", tbl_transaction[[#This Row],[Order Date]])+1)+1, 2)</f>
        <v>20</v>
      </c>
      <c r="K78" s="61">
        <f>VALUE(LEFT(tbl_transaction[[#This Row],[Transaction Date]],FIND("/",tbl_transaction[[#This Row],[Transaction Date]])-1))</f>
        <v>10</v>
      </c>
      <c r="L7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8" s="61" t="str">
        <f>MID(tbl_transaction[[#This Row],[Transaction Date]], FIND("/",tbl_transaction[[#This Row],[Transaction Date]], FIND("/", tbl_transaction[[#This Row],[Transaction Date]])+1)+1, 2)</f>
        <v>20</v>
      </c>
      <c r="N78" s="9">
        <f>DATE(tbl_transaction[[#This Row],[Year_order]]+2000, tbl_transaction[[#This Row],[Month_order]], tbl_transaction[[#This Row],[Date_order]])</f>
        <v>44133</v>
      </c>
      <c r="O78" s="9">
        <f>DATE(tbl_transaction[[#This Row],[Year_Transact]]+2000,tbl_transaction[[#This Row],[Month_Transact]],tbl_transaction[[#This Row],[Date_Transact]])</f>
        <v>44133</v>
      </c>
      <c r="P7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10626</v>
      </c>
      <c r="R7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10626</v>
      </c>
      <c r="S7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79" spans="1:19" x14ac:dyDescent="0.35">
      <c r="A79" t="s">
        <v>20</v>
      </c>
      <c r="B79" t="s">
        <v>356</v>
      </c>
      <c r="C79" t="s">
        <v>357</v>
      </c>
      <c r="D79" t="s">
        <v>31</v>
      </c>
      <c r="F79" s="47">
        <v>2000</v>
      </c>
      <c r="G79" s="48">
        <v>3.5</v>
      </c>
      <c r="H79" s="61">
        <f>VALUE(LEFT(tbl_transaction[[#This Row],[Order Date]],FIND("/",tbl_transaction[[#This Row],[Order Date]])-1))</f>
        <v>10</v>
      </c>
      <c r="I7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79" s="61" t="str">
        <f>MID(tbl_transaction[[#This Row],[Order Date]], FIND("/",tbl_transaction[[#This Row],[Order Date]], FIND("/", tbl_transaction[[#This Row],[Order Date]])+1)+1, 2)</f>
        <v>20</v>
      </c>
      <c r="K79" s="61">
        <f>VALUE(LEFT(tbl_transaction[[#This Row],[Transaction Date]],FIND("/",tbl_transaction[[#This Row],[Transaction Date]])-1))</f>
        <v>10</v>
      </c>
      <c r="L7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79" s="61" t="str">
        <f>MID(tbl_transaction[[#This Row],[Transaction Date]], FIND("/",tbl_transaction[[#This Row],[Transaction Date]], FIND("/", tbl_transaction[[#This Row],[Transaction Date]])+1)+1, 2)</f>
        <v>20</v>
      </c>
      <c r="N79" s="9">
        <f>DATE(tbl_transaction[[#This Row],[Year_order]]+2000, tbl_transaction[[#This Row],[Month_order]], tbl_transaction[[#This Row],[Date_order]])</f>
        <v>44133</v>
      </c>
      <c r="O79" s="9">
        <f>DATE(tbl_transaction[[#This Row],[Year_Transact]]+2000,tbl_transaction[[#This Row],[Month_Transact]],tbl_transaction[[#This Row],[Date_Transact]])</f>
        <v>44133</v>
      </c>
      <c r="P7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7000</v>
      </c>
      <c r="R7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7000</v>
      </c>
      <c r="S7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80" spans="1:19" x14ac:dyDescent="0.35">
      <c r="A80" t="s">
        <v>321</v>
      </c>
      <c r="B80" t="s">
        <v>358</v>
      </c>
      <c r="C80" t="s">
        <v>357</v>
      </c>
      <c r="D80" t="s">
        <v>26</v>
      </c>
      <c r="F80" s="47">
        <v>101</v>
      </c>
      <c r="G80" s="48">
        <v>65.98</v>
      </c>
      <c r="H80" s="61">
        <f>VALUE(LEFT(tbl_transaction[[#This Row],[Order Date]],FIND("/",tbl_transaction[[#This Row],[Order Date]])-1))</f>
        <v>10</v>
      </c>
      <c r="I8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0" s="61" t="str">
        <f>MID(tbl_transaction[[#This Row],[Order Date]], FIND("/",tbl_transaction[[#This Row],[Order Date]], FIND("/", tbl_transaction[[#This Row],[Order Date]])+1)+1, 2)</f>
        <v>20</v>
      </c>
      <c r="K80" s="61">
        <f>VALUE(LEFT(tbl_transaction[[#This Row],[Transaction Date]],FIND("/",tbl_transaction[[#This Row],[Transaction Date]])-1))</f>
        <v>10</v>
      </c>
      <c r="L8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0" s="61" t="str">
        <f>MID(tbl_transaction[[#This Row],[Transaction Date]], FIND("/",tbl_transaction[[#This Row],[Transaction Date]], FIND("/", tbl_transaction[[#This Row],[Transaction Date]])+1)+1, 2)</f>
        <v>20</v>
      </c>
      <c r="N80" s="9">
        <f>DATE(tbl_transaction[[#This Row],[Year_order]]+2000, tbl_transaction[[#This Row],[Month_order]], tbl_transaction[[#This Row],[Date_order]])</f>
        <v>44133</v>
      </c>
      <c r="O80" s="9">
        <f>DATE(tbl_transaction[[#This Row],[Year_Transact]]+2000,tbl_transaction[[#This Row],[Month_Transact]],tbl_transaction[[#This Row],[Date_Transact]])</f>
        <v>44133</v>
      </c>
      <c r="P8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6663.9800000000005</v>
      </c>
      <c r="Q8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-6663.9800000000005</v>
      </c>
      <c r="R8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81" spans="1:19" x14ac:dyDescent="0.35">
      <c r="A81" t="s">
        <v>227</v>
      </c>
      <c r="B81" t="s">
        <v>357</v>
      </c>
      <c r="C81" t="s">
        <v>357</v>
      </c>
      <c r="D81" t="s">
        <v>26</v>
      </c>
      <c r="F81" s="47">
        <v>50</v>
      </c>
      <c r="G81" s="48">
        <v>261.37</v>
      </c>
      <c r="H81" s="61">
        <f>VALUE(LEFT(tbl_transaction[[#This Row],[Order Date]],FIND("/",tbl_transaction[[#This Row],[Order Date]])-1))</f>
        <v>10</v>
      </c>
      <c r="I8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1" s="61" t="str">
        <f>MID(tbl_transaction[[#This Row],[Order Date]], FIND("/",tbl_transaction[[#This Row],[Order Date]], FIND("/", tbl_transaction[[#This Row],[Order Date]])+1)+1, 2)</f>
        <v>20</v>
      </c>
      <c r="K81" s="61">
        <f>VALUE(LEFT(tbl_transaction[[#This Row],[Transaction Date]],FIND("/",tbl_transaction[[#This Row],[Transaction Date]])-1))</f>
        <v>10</v>
      </c>
      <c r="L8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1" s="61" t="str">
        <f>MID(tbl_transaction[[#This Row],[Transaction Date]], FIND("/",tbl_transaction[[#This Row],[Transaction Date]], FIND("/", tbl_transaction[[#This Row],[Transaction Date]])+1)+1, 2)</f>
        <v>20</v>
      </c>
      <c r="N81" s="9">
        <f>DATE(tbl_transaction[[#This Row],[Year_order]]+2000, tbl_transaction[[#This Row],[Month_order]], tbl_transaction[[#This Row],[Date_order]])</f>
        <v>44133</v>
      </c>
      <c r="O81" s="9">
        <f>DATE(tbl_transaction[[#This Row],[Year_Transact]]+2000,tbl_transaction[[#This Row],[Month_Transact]],tbl_transaction[[#This Row],[Date_Transact]])</f>
        <v>44133</v>
      </c>
      <c r="P8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13068.5</v>
      </c>
      <c r="Q8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-13068.5</v>
      </c>
      <c r="R8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82" spans="1:19" x14ac:dyDescent="0.35">
      <c r="A82" t="s">
        <v>360</v>
      </c>
      <c r="B82" t="s">
        <v>363</v>
      </c>
      <c r="C82" t="s">
        <v>363</v>
      </c>
      <c r="D82" t="s">
        <v>31</v>
      </c>
      <c r="F82" s="47">
        <v>50</v>
      </c>
      <c r="G82" s="48">
        <v>10.67</v>
      </c>
      <c r="H82" s="61">
        <f>VALUE(LEFT(tbl_transaction[[#This Row],[Order Date]],FIND("/",tbl_transaction[[#This Row],[Order Date]])-1))</f>
        <v>10</v>
      </c>
      <c r="I8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2" s="61" t="str">
        <f>MID(tbl_transaction[[#This Row],[Order Date]], FIND("/",tbl_transaction[[#This Row],[Order Date]], FIND("/", tbl_transaction[[#This Row],[Order Date]])+1)+1, 2)</f>
        <v>20</v>
      </c>
      <c r="K82" s="61">
        <f>VALUE(LEFT(tbl_transaction[[#This Row],[Transaction Date]],FIND("/",tbl_transaction[[#This Row],[Transaction Date]])-1))</f>
        <v>10</v>
      </c>
      <c r="L8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2" s="61" t="str">
        <f>MID(tbl_transaction[[#This Row],[Transaction Date]], FIND("/",tbl_transaction[[#This Row],[Transaction Date]], FIND("/", tbl_transaction[[#This Row],[Transaction Date]])+1)+1, 2)</f>
        <v>20</v>
      </c>
      <c r="N82" s="9">
        <f>DATE(tbl_transaction[[#This Row],[Year_order]]+2000, tbl_transaction[[#This Row],[Month_order]], tbl_transaction[[#This Row],[Date_order]])</f>
        <v>44133</v>
      </c>
      <c r="O82" s="9">
        <f>DATE(tbl_transaction[[#This Row],[Year_Transact]]+2000,tbl_transaction[[#This Row],[Month_Transact]],tbl_transaction[[#This Row],[Date_Transact]])</f>
        <v>44133</v>
      </c>
      <c r="P8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533.5</v>
      </c>
      <c r="R8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533.5</v>
      </c>
      <c r="S8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3" spans="1:19" x14ac:dyDescent="0.35">
      <c r="A83" t="s">
        <v>37</v>
      </c>
      <c r="B83" t="s">
        <v>363</v>
      </c>
      <c r="C83" t="s">
        <v>363</v>
      </c>
      <c r="D83" t="s">
        <v>26</v>
      </c>
      <c r="F83" s="47">
        <v>100</v>
      </c>
      <c r="G83" s="48">
        <v>106.84</v>
      </c>
      <c r="H83" s="61">
        <f>VALUE(LEFT(tbl_transaction[[#This Row],[Order Date]],FIND("/",tbl_transaction[[#This Row],[Order Date]])-1))</f>
        <v>10</v>
      </c>
      <c r="I8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3" s="61" t="str">
        <f>MID(tbl_transaction[[#This Row],[Order Date]], FIND("/",tbl_transaction[[#This Row],[Order Date]], FIND("/", tbl_transaction[[#This Row],[Order Date]])+1)+1, 2)</f>
        <v>20</v>
      </c>
      <c r="K83" s="61">
        <f>VALUE(LEFT(tbl_transaction[[#This Row],[Transaction Date]],FIND("/",tbl_transaction[[#This Row],[Transaction Date]])-1))</f>
        <v>10</v>
      </c>
      <c r="L8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3" s="61" t="str">
        <f>MID(tbl_transaction[[#This Row],[Transaction Date]], FIND("/",tbl_transaction[[#This Row],[Transaction Date]], FIND("/", tbl_transaction[[#This Row],[Transaction Date]])+1)+1, 2)</f>
        <v>20</v>
      </c>
      <c r="N83" s="9">
        <f>DATE(tbl_transaction[[#This Row],[Year_order]]+2000, tbl_transaction[[#This Row],[Month_order]], tbl_transaction[[#This Row],[Date_order]])</f>
        <v>44133</v>
      </c>
      <c r="O83" s="9">
        <f>DATE(tbl_transaction[[#This Row],[Year_Transact]]+2000,tbl_transaction[[#This Row],[Month_Transact]],tbl_transaction[[#This Row],[Date_Transact]])</f>
        <v>44133</v>
      </c>
      <c r="P8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10684</v>
      </c>
      <c r="Q8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-10684</v>
      </c>
      <c r="R8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84" spans="1:19" x14ac:dyDescent="0.35">
      <c r="A84" t="s">
        <v>365</v>
      </c>
      <c r="B84" t="s">
        <v>369</v>
      </c>
      <c r="C84" t="s">
        <v>370</v>
      </c>
      <c r="D84" t="s">
        <v>19</v>
      </c>
      <c r="F84" s="47">
        <v>450</v>
      </c>
      <c r="G84" s="48">
        <v>22.31</v>
      </c>
      <c r="H84" s="61">
        <f>VALUE(LEFT(tbl_transaction[[#This Row],[Order Date]],FIND("/",tbl_transaction[[#This Row],[Order Date]])-1))</f>
        <v>10</v>
      </c>
      <c r="I8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4" s="61" t="str">
        <f>MID(tbl_transaction[[#This Row],[Order Date]], FIND("/",tbl_transaction[[#This Row],[Order Date]], FIND("/", tbl_transaction[[#This Row],[Order Date]])+1)+1, 2)</f>
        <v>20</v>
      </c>
      <c r="K84" s="61">
        <f>VALUE(LEFT(tbl_transaction[[#This Row],[Transaction Date]],FIND("/",tbl_transaction[[#This Row],[Transaction Date]])-1))</f>
        <v>10</v>
      </c>
      <c r="L8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4" s="61" t="str">
        <f>MID(tbl_transaction[[#This Row],[Transaction Date]], FIND("/",tbl_transaction[[#This Row],[Transaction Date]], FIND("/", tbl_transaction[[#This Row],[Transaction Date]])+1)+1, 2)</f>
        <v>30</v>
      </c>
      <c r="N84" s="9">
        <f>DATE(tbl_transaction[[#This Row],[Year_order]]+2000, tbl_transaction[[#This Row],[Month_order]], tbl_transaction[[#This Row],[Date_order]])</f>
        <v>44133</v>
      </c>
      <c r="O84" s="9">
        <f>DATE(tbl_transaction[[#This Row],[Year_Transact]]+2000,tbl_transaction[[#This Row],[Month_Transact]],tbl_transaction[[#This Row],[Date_Transact]])</f>
        <v>47785</v>
      </c>
      <c r="P8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-10039.5</v>
      </c>
      <c r="Q8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10039.5</v>
      </c>
      <c r="R8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450</v>
      </c>
    </row>
    <row r="85" spans="1:19" x14ac:dyDescent="0.35">
      <c r="A85" t="s">
        <v>321</v>
      </c>
      <c r="B85" t="s">
        <v>371</v>
      </c>
      <c r="C85" t="s">
        <v>371</v>
      </c>
      <c r="D85" t="s">
        <v>31</v>
      </c>
      <c r="F85" s="47">
        <v>150</v>
      </c>
      <c r="G85" s="48">
        <v>65.25</v>
      </c>
      <c r="H85" s="61">
        <f>VALUE(LEFT(tbl_transaction[[#This Row],[Order Date]],FIND("/",tbl_transaction[[#This Row],[Order Date]])-1))</f>
        <v>10</v>
      </c>
      <c r="I8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5" s="61" t="str">
        <f>MID(tbl_transaction[[#This Row],[Order Date]], FIND("/",tbl_transaction[[#This Row],[Order Date]], FIND("/", tbl_transaction[[#This Row],[Order Date]])+1)+1, 2)</f>
        <v>20</v>
      </c>
      <c r="K85" s="61">
        <f>VALUE(LEFT(tbl_transaction[[#This Row],[Transaction Date]],FIND("/",tbl_transaction[[#This Row],[Transaction Date]])-1))</f>
        <v>10</v>
      </c>
      <c r="L8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5" s="61" t="str">
        <f>MID(tbl_transaction[[#This Row],[Transaction Date]], FIND("/",tbl_transaction[[#This Row],[Transaction Date]], FIND("/", tbl_transaction[[#This Row],[Transaction Date]])+1)+1, 2)</f>
        <v>20</v>
      </c>
      <c r="N85" s="9">
        <f>DATE(tbl_transaction[[#This Row],[Year_order]]+2000, tbl_transaction[[#This Row],[Month_order]], tbl_transaction[[#This Row],[Date_order]])</f>
        <v>44133</v>
      </c>
      <c r="O85" s="9">
        <f>DATE(tbl_transaction[[#This Row],[Year_Transact]]+2000,tbl_transaction[[#This Row],[Month_Transact]],tbl_transaction[[#This Row],[Date_Transact]])</f>
        <v>44133</v>
      </c>
      <c r="P8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9787.5</v>
      </c>
      <c r="R8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9787.5</v>
      </c>
      <c r="S8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86" spans="1:19" x14ac:dyDescent="0.35">
      <c r="A86" t="s">
        <v>365</v>
      </c>
      <c r="B86" t="s">
        <v>368</v>
      </c>
      <c r="C86" t="s">
        <v>368</v>
      </c>
      <c r="D86" t="s">
        <v>26</v>
      </c>
      <c r="F86" s="47">
        <v>450</v>
      </c>
      <c r="G86" s="48">
        <v>21.92</v>
      </c>
      <c r="H86" s="61">
        <f>VALUE(LEFT(tbl_transaction[[#This Row],[Order Date]],FIND("/",tbl_transaction[[#This Row],[Order Date]])-1))</f>
        <v>10</v>
      </c>
      <c r="I8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6" s="61" t="str">
        <f>MID(tbl_transaction[[#This Row],[Order Date]], FIND("/",tbl_transaction[[#This Row],[Order Date]], FIND("/", tbl_transaction[[#This Row],[Order Date]])+1)+1, 2)</f>
        <v>20</v>
      </c>
      <c r="K86" s="61">
        <f>VALUE(LEFT(tbl_transaction[[#This Row],[Transaction Date]],FIND("/",tbl_transaction[[#This Row],[Transaction Date]])-1))</f>
        <v>10</v>
      </c>
      <c r="L8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6" s="61" t="str">
        <f>MID(tbl_transaction[[#This Row],[Transaction Date]], FIND("/",tbl_transaction[[#This Row],[Transaction Date]], FIND("/", tbl_transaction[[#This Row],[Transaction Date]])+1)+1, 2)</f>
        <v>20</v>
      </c>
      <c r="N86" s="9">
        <f>DATE(tbl_transaction[[#This Row],[Year_order]]+2000, tbl_transaction[[#This Row],[Month_order]], tbl_transaction[[#This Row],[Date_order]])</f>
        <v>44133</v>
      </c>
      <c r="O86" s="9">
        <f>DATE(tbl_transaction[[#This Row],[Year_Transact]]+2000,tbl_transaction[[#This Row],[Month_Transact]],tbl_transaction[[#This Row],[Date_Transact]])</f>
        <v>44133</v>
      </c>
      <c r="P8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9864</v>
      </c>
      <c r="Q8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-9864</v>
      </c>
      <c r="R8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-450</v>
      </c>
    </row>
    <row r="87" spans="1:19" x14ac:dyDescent="0.35">
      <c r="A87" t="s">
        <v>350</v>
      </c>
      <c r="B87" t="s">
        <v>372</v>
      </c>
      <c r="C87" t="s">
        <v>372</v>
      </c>
      <c r="D87" t="s">
        <v>34</v>
      </c>
      <c r="F87" s="47">
        <v>200</v>
      </c>
      <c r="G87" s="48">
        <v>51.77</v>
      </c>
      <c r="H87" s="61">
        <f>VALUE(LEFT(tbl_transaction[[#This Row],[Order Date]],FIND("/",tbl_transaction[[#This Row],[Order Date]])-1))</f>
        <v>10</v>
      </c>
      <c r="I8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7" s="61" t="str">
        <f>MID(tbl_transaction[[#This Row],[Order Date]], FIND("/",tbl_transaction[[#This Row],[Order Date]], FIND("/", tbl_transaction[[#This Row],[Order Date]])+1)+1, 2)</f>
        <v>20</v>
      </c>
      <c r="K87" s="61">
        <f>VALUE(LEFT(tbl_transaction[[#This Row],[Transaction Date]],FIND("/",tbl_transaction[[#This Row],[Transaction Date]])-1))</f>
        <v>10</v>
      </c>
      <c r="L8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7" s="61" t="str">
        <f>MID(tbl_transaction[[#This Row],[Transaction Date]], FIND("/",tbl_transaction[[#This Row],[Transaction Date]], FIND("/", tbl_transaction[[#This Row],[Transaction Date]])+1)+1, 2)</f>
        <v>20</v>
      </c>
      <c r="N87" s="9">
        <f>DATE(tbl_transaction[[#This Row],[Year_order]]+2000, tbl_transaction[[#This Row],[Month_order]], tbl_transaction[[#This Row],[Date_order]])</f>
        <v>44133</v>
      </c>
      <c r="O87" s="9">
        <f>DATE(tbl_transaction[[#This Row],[Year_Transact]]+2000,tbl_transaction[[#This Row],[Month_Transact]],tbl_transaction[[#This Row],[Date_Transact]])</f>
        <v>44133</v>
      </c>
      <c r="P8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-10354</v>
      </c>
      <c r="R8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-10354</v>
      </c>
      <c r="S8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88" spans="1:19" x14ac:dyDescent="0.35">
      <c r="A88" t="s">
        <v>350</v>
      </c>
      <c r="B88" t="s">
        <v>373</v>
      </c>
      <c r="C88" t="s">
        <v>373</v>
      </c>
      <c r="D88" t="s">
        <v>19</v>
      </c>
      <c r="F88" s="47">
        <v>235</v>
      </c>
      <c r="G88" s="48">
        <v>52.59</v>
      </c>
      <c r="H88" s="61">
        <f>VALUE(LEFT(tbl_transaction[[#This Row],[Order Date]],FIND("/",tbl_transaction[[#This Row],[Order Date]])-1))</f>
        <v>10</v>
      </c>
      <c r="I8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8" s="61" t="str">
        <f>MID(tbl_transaction[[#This Row],[Order Date]], FIND("/",tbl_transaction[[#This Row],[Order Date]], FIND("/", tbl_transaction[[#This Row],[Order Date]])+1)+1, 2)</f>
        <v>20</v>
      </c>
      <c r="K88" s="61">
        <f>VALUE(LEFT(tbl_transaction[[#This Row],[Transaction Date]],FIND("/",tbl_transaction[[#This Row],[Transaction Date]])-1))</f>
        <v>10</v>
      </c>
      <c r="L8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8" s="61" t="str">
        <f>MID(tbl_transaction[[#This Row],[Transaction Date]], FIND("/",tbl_transaction[[#This Row],[Transaction Date]], FIND("/", tbl_transaction[[#This Row],[Transaction Date]])+1)+1, 2)</f>
        <v>20</v>
      </c>
      <c r="N88" s="9">
        <f>DATE(tbl_transaction[[#This Row],[Year_order]]+2000, tbl_transaction[[#This Row],[Month_order]], tbl_transaction[[#This Row],[Date_order]])</f>
        <v>44133</v>
      </c>
      <c r="O88" s="9">
        <f>DATE(tbl_transaction[[#This Row],[Year_Transact]]+2000,tbl_transaction[[#This Row],[Month_Transact]],tbl_transaction[[#This Row],[Date_Transact]])</f>
        <v>44133</v>
      </c>
      <c r="P8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-12358.650000000001</v>
      </c>
      <c r="Q8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12358.650000000001</v>
      </c>
      <c r="R8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235</v>
      </c>
    </row>
    <row r="89" spans="1:19" x14ac:dyDescent="0.35">
      <c r="A89" t="s">
        <v>20</v>
      </c>
      <c r="B89" t="s">
        <v>374</v>
      </c>
      <c r="C89" t="s">
        <v>374</v>
      </c>
      <c r="D89" t="s">
        <v>34</v>
      </c>
      <c r="F89" s="47">
        <v>5000</v>
      </c>
      <c r="G89" s="48">
        <v>3.72</v>
      </c>
      <c r="H89" s="61">
        <f>VALUE(LEFT(tbl_transaction[[#This Row],[Order Date]],FIND("/",tbl_transaction[[#This Row],[Order Date]])-1))</f>
        <v>10</v>
      </c>
      <c r="I8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89" s="61" t="str">
        <f>MID(tbl_transaction[[#This Row],[Order Date]], FIND("/",tbl_transaction[[#This Row],[Order Date]], FIND("/", tbl_transaction[[#This Row],[Order Date]])+1)+1, 2)</f>
        <v>20</v>
      </c>
      <c r="K89" s="61">
        <f>VALUE(LEFT(tbl_transaction[[#This Row],[Transaction Date]],FIND("/",tbl_transaction[[#This Row],[Transaction Date]])-1))</f>
        <v>10</v>
      </c>
      <c r="L8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89" s="61" t="str">
        <f>MID(tbl_transaction[[#This Row],[Transaction Date]], FIND("/",tbl_transaction[[#This Row],[Transaction Date]], FIND("/", tbl_transaction[[#This Row],[Transaction Date]])+1)+1, 2)</f>
        <v>20</v>
      </c>
      <c r="N89" s="9">
        <f>DATE(tbl_transaction[[#This Row],[Year_order]]+2000, tbl_transaction[[#This Row],[Month_order]], tbl_transaction[[#This Row],[Date_order]])</f>
        <v>44133</v>
      </c>
      <c r="O89" s="9">
        <f>DATE(tbl_transaction[[#This Row],[Year_Transact]]+2000,tbl_transaction[[#This Row],[Month_Transact]],tbl_transaction[[#This Row],[Date_Transact]])</f>
        <v>44133</v>
      </c>
      <c r="P8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8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-18600</v>
      </c>
      <c r="R8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-18600</v>
      </c>
      <c r="S8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-5000</v>
      </c>
    </row>
    <row r="90" spans="1:19" x14ac:dyDescent="0.35">
      <c r="A90" t="s">
        <v>20</v>
      </c>
      <c r="B90" t="s">
        <v>375</v>
      </c>
      <c r="C90" t="s">
        <v>375</v>
      </c>
      <c r="D90" t="s">
        <v>19</v>
      </c>
      <c r="F90" s="47">
        <v>3000</v>
      </c>
      <c r="G90" s="48">
        <v>3.71</v>
      </c>
      <c r="H90" s="61">
        <f>VALUE(LEFT(tbl_transaction[[#This Row],[Order Date]],FIND("/",tbl_transaction[[#This Row],[Order Date]])-1))</f>
        <v>10</v>
      </c>
      <c r="I9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90" s="61" t="str">
        <f>MID(tbl_transaction[[#This Row],[Order Date]], FIND("/",tbl_transaction[[#This Row],[Order Date]], FIND("/", tbl_transaction[[#This Row],[Order Date]])+1)+1, 2)</f>
        <v>20</v>
      </c>
      <c r="K90" s="61">
        <f>VALUE(LEFT(tbl_transaction[[#This Row],[Transaction Date]],FIND("/",tbl_transaction[[#This Row],[Transaction Date]])-1))</f>
        <v>10</v>
      </c>
      <c r="L9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90" s="61" t="str">
        <f>MID(tbl_transaction[[#This Row],[Transaction Date]], FIND("/",tbl_transaction[[#This Row],[Transaction Date]], FIND("/", tbl_transaction[[#This Row],[Transaction Date]])+1)+1, 2)</f>
        <v>20</v>
      </c>
      <c r="N90" s="9">
        <f>DATE(tbl_transaction[[#This Row],[Year_order]]+2000, tbl_transaction[[#This Row],[Month_order]], tbl_transaction[[#This Row],[Date_order]])</f>
        <v>44133</v>
      </c>
      <c r="O90" s="9">
        <f>DATE(tbl_transaction[[#This Row],[Year_Transact]]+2000,tbl_transaction[[#This Row],[Month_Transact]],tbl_transaction[[#This Row],[Date_Transact]])</f>
        <v>44133</v>
      </c>
      <c r="P9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-11130</v>
      </c>
      <c r="Q9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11130</v>
      </c>
      <c r="R9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3000</v>
      </c>
    </row>
    <row r="91" spans="1:19" x14ac:dyDescent="0.35">
      <c r="A91" t="s">
        <v>20</v>
      </c>
      <c r="B91" t="s">
        <v>376</v>
      </c>
      <c r="C91" t="s">
        <v>376</v>
      </c>
      <c r="D91" t="s">
        <v>26</v>
      </c>
      <c r="F91" s="47">
        <v>3000</v>
      </c>
      <c r="G91" s="48">
        <v>3.61</v>
      </c>
      <c r="H91" s="61">
        <f>VALUE(LEFT(tbl_transaction[[#This Row],[Order Date]],FIND("/",tbl_transaction[[#This Row],[Order Date]])-1))</f>
        <v>10</v>
      </c>
      <c r="I9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29</v>
      </c>
      <c r="J91" s="61" t="str">
        <f>MID(tbl_transaction[[#This Row],[Order Date]], FIND("/",tbl_transaction[[#This Row],[Order Date]], FIND("/", tbl_transaction[[#This Row],[Order Date]])+1)+1, 2)</f>
        <v>20</v>
      </c>
      <c r="K91" s="61">
        <f>VALUE(LEFT(tbl_transaction[[#This Row],[Transaction Date]],FIND("/",tbl_transaction[[#This Row],[Transaction Date]])-1))</f>
        <v>10</v>
      </c>
      <c r="L9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29</v>
      </c>
      <c r="M91" s="61" t="str">
        <f>MID(tbl_transaction[[#This Row],[Transaction Date]], FIND("/",tbl_transaction[[#This Row],[Transaction Date]], FIND("/", tbl_transaction[[#This Row],[Transaction Date]])+1)+1, 2)</f>
        <v>20</v>
      </c>
      <c r="N91" s="9">
        <f>DATE(tbl_transaction[[#This Row],[Year_order]]+2000, tbl_transaction[[#This Row],[Month_order]], tbl_transaction[[#This Row],[Date_order]])</f>
        <v>44133</v>
      </c>
      <c r="O91" s="9">
        <f>DATE(tbl_transaction[[#This Row],[Year_Transact]]+2000,tbl_transaction[[#This Row],[Month_Transact]],tbl_transaction[[#This Row],[Date_Transact]])</f>
        <v>44133</v>
      </c>
      <c r="P9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10830</v>
      </c>
      <c r="Q9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-10830</v>
      </c>
      <c r="R9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-3000</v>
      </c>
    </row>
    <row r="92" spans="1:19" x14ac:dyDescent="0.35">
      <c r="A92" t="s">
        <v>321</v>
      </c>
      <c r="B92" t="s">
        <v>377</v>
      </c>
      <c r="C92" t="s">
        <v>378</v>
      </c>
      <c r="D92" t="s">
        <v>34</v>
      </c>
      <c r="F92" s="47">
        <v>150</v>
      </c>
      <c r="G92" s="48">
        <v>70.69</v>
      </c>
      <c r="H92" s="61">
        <f>VALUE(LEFT(tbl_transaction[[#This Row],[Order Date]],FIND("/",tbl_transaction[[#This Row],[Order Date]])-1))</f>
        <v>11</v>
      </c>
      <c r="I9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</v>
      </c>
      <c r="J92" s="61" t="str">
        <f>MID(tbl_transaction[[#This Row],[Order Date]], FIND("/",tbl_transaction[[#This Row],[Order Date]], FIND("/", tbl_transaction[[#This Row],[Order Date]])+1)+1, 2)</f>
        <v>20</v>
      </c>
      <c r="K92" s="61">
        <f>VALUE(LEFT(tbl_transaction[[#This Row],[Transaction Date]],FIND("/",tbl_transaction[[#This Row],[Transaction Date]])-1))</f>
        <v>11</v>
      </c>
      <c r="L9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</v>
      </c>
      <c r="M92" s="61" t="str">
        <f>MID(tbl_transaction[[#This Row],[Transaction Date]], FIND("/",tbl_transaction[[#This Row],[Transaction Date]], FIND("/", tbl_transaction[[#This Row],[Transaction Date]])+1)+1, 2)</f>
        <v>20</v>
      </c>
      <c r="N92" s="9">
        <f>DATE(tbl_transaction[[#This Row],[Year_order]]+2000, tbl_transaction[[#This Row],[Month_order]], tbl_transaction[[#This Row],[Date_order]])</f>
        <v>44137</v>
      </c>
      <c r="O92" s="9">
        <f>DATE(tbl_transaction[[#This Row],[Year_Transact]]+2000,tbl_transaction[[#This Row],[Month_Transact]],tbl_transaction[[#This Row],[Date_Transact]])</f>
        <v>44137</v>
      </c>
      <c r="P9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9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-10603.5</v>
      </c>
      <c r="R9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-10603.5</v>
      </c>
      <c r="S9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93" spans="1:19" x14ac:dyDescent="0.35">
      <c r="A93" t="s">
        <v>360</v>
      </c>
      <c r="B93" t="s">
        <v>379</v>
      </c>
      <c r="C93" t="s">
        <v>379</v>
      </c>
      <c r="D93" t="s">
        <v>34</v>
      </c>
      <c r="F93" s="47">
        <v>50</v>
      </c>
      <c r="G93" s="48">
        <v>11.43</v>
      </c>
      <c r="H93" s="61">
        <f>VALUE(LEFT(tbl_transaction[[#This Row],[Order Date]],FIND("/",tbl_transaction[[#This Row],[Order Date]])-1))</f>
        <v>11</v>
      </c>
      <c r="I9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3</v>
      </c>
      <c r="J93" s="61" t="str">
        <f>MID(tbl_transaction[[#This Row],[Order Date]], FIND("/",tbl_transaction[[#This Row],[Order Date]], FIND("/", tbl_transaction[[#This Row],[Order Date]])+1)+1, 2)</f>
        <v>20</v>
      </c>
      <c r="K93" s="61">
        <f>VALUE(LEFT(tbl_transaction[[#This Row],[Transaction Date]],FIND("/",tbl_transaction[[#This Row],[Transaction Date]])-1))</f>
        <v>11</v>
      </c>
      <c r="L9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3</v>
      </c>
      <c r="M93" s="61" t="str">
        <f>MID(tbl_transaction[[#This Row],[Transaction Date]], FIND("/",tbl_transaction[[#This Row],[Transaction Date]], FIND("/", tbl_transaction[[#This Row],[Transaction Date]])+1)+1, 2)</f>
        <v>20</v>
      </c>
      <c r="N93" s="9">
        <f>DATE(tbl_transaction[[#This Row],[Year_order]]+2000, tbl_transaction[[#This Row],[Month_order]], tbl_transaction[[#This Row],[Date_order]])</f>
        <v>44138</v>
      </c>
      <c r="O93" s="9">
        <f>DATE(tbl_transaction[[#This Row],[Year_Transact]]+2000,tbl_transaction[[#This Row],[Month_Transact]],tbl_transaction[[#This Row],[Date_Transact]])</f>
        <v>44138</v>
      </c>
      <c r="P9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9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-571.5</v>
      </c>
      <c r="R9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-571.5</v>
      </c>
      <c r="S9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94" spans="1:19" x14ac:dyDescent="0.35">
      <c r="A94" t="s">
        <v>381</v>
      </c>
      <c r="B94" t="s">
        <v>384</v>
      </c>
      <c r="C94" t="s">
        <v>385</v>
      </c>
      <c r="D94" t="s">
        <v>19</v>
      </c>
      <c r="F94" s="47">
        <v>3770</v>
      </c>
      <c r="G94" s="48">
        <v>3.73</v>
      </c>
      <c r="H94" s="61">
        <f>VALUE(LEFT(tbl_transaction[[#This Row],[Order Date]],FIND("/",tbl_transaction[[#This Row],[Order Date]])-1))</f>
        <v>11</v>
      </c>
      <c r="I9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4</v>
      </c>
      <c r="J94" s="61" t="str">
        <f>MID(tbl_transaction[[#This Row],[Order Date]], FIND("/",tbl_transaction[[#This Row],[Order Date]], FIND("/", tbl_transaction[[#This Row],[Order Date]])+1)+1, 2)</f>
        <v>20</v>
      </c>
      <c r="K94" s="61">
        <f>VALUE(LEFT(tbl_transaction[[#This Row],[Transaction Date]],FIND("/",tbl_transaction[[#This Row],[Transaction Date]])-1))</f>
        <v>11</v>
      </c>
      <c r="L9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4</v>
      </c>
      <c r="M94" s="61" t="str">
        <f>MID(tbl_transaction[[#This Row],[Transaction Date]], FIND("/",tbl_transaction[[#This Row],[Transaction Date]], FIND("/", tbl_transaction[[#This Row],[Transaction Date]])+1)+1, 2)</f>
        <v>20</v>
      </c>
      <c r="N94" s="9">
        <f>DATE(tbl_transaction[[#This Row],[Year_order]]+2000, tbl_transaction[[#This Row],[Month_order]], tbl_transaction[[#This Row],[Date_order]])</f>
        <v>44139</v>
      </c>
      <c r="O94" s="9">
        <f>DATE(tbl_transaction[[#This Row],[Year_Transact]]+2000,tbl_transaction[[#This Row],[Month_Transact]],tbl_transaction[[#This Row],[Date_Transact]])</f>
        <v>44139</v>
      </c>
      <c r="P9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-14062.1</v>
      </c>
      <c r="Q9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14062.1</v>
      </c>
      <c r="R9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3770</v>
      </c>
    </row>
    <row r="95" spans="1:19" x14ac:dyDescent="0.35">
      <c r="A95" t="s">
        <v>387</v>
      </c>
      <c r="B95" t="s">
        <v>390</v>
      </c>
      <c r="C95" t="s">
        <v>391</v>
      </c>
      <c r="D95" t="s">
        <v>19</v>
      </c>
      <c r="F95" s="47">
        <v>1000</v>
      </c>
      <c r="G95" s="48">
        <v>25.4</v>
      </c>
      <c r="H95" s="61">
        <f>VALUE(LEFT(tbl_transaction[[#This Row],[Order Date]],FIND("/",tbl_transaction[[#This Row],[Order Date]])-1))</f>
        <v>11</v>
      </c>
      <c r="I9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4</v>
      </c>
      <c r="J95" s="61" t="str">
        <f>MID(tbl_transaction[[#This Row],[Order Date]], FIND("/",tbl_transaction[[#This Row],[Order Date]], FIND("/", tbl_transaction[[#This Row],[Order Date]])+1)+1, 2)</f>
        <v>20</v>
      </c>
      <c r="K95" s="61">
        <f>VALUE(LEFT(tbl_transaction[[#This Row],[Transaction Date]],FIND("/",tbl_transaction[[#This Row],[Transaction Date]])-1))</f>
        <v>11</v>
      </c>
      <c r="L9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4</v>
      </c>
      <c r="M95" s="61" t="str">
        <f>MID(tbl_transaction[[#This Row],[Transaction Date]], FIND("/",tbl_transaction[[#This Row],[Transaction Date]], FIND("/", tbl_transaction[[#This Row],[Transaction Date]])+1)+1, 2)</f>
        <v>20</v>
      </c>
      <c r="N95" s="9">
        <f>DATE(tbl_transaction[[#This Row],[Year_order]]+2000, tbl_transaction[[#This Row],[Month_order]], tbl_transaction[[#This Row],[Date_order]])</f>
        <v>44139</v>
      </c>
      <c r="O95" s="9">
        <f>DATE(tbl_transaction[[#This Row],[Year_Transact]]+2000,tbl_transaction[[#This Row],[Month_Transact]],tbl_transaction[[#This Row],[Date_Transact]])</f>
        <v>44139</v>
      </c>
      <c r="P9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-25400</v>
      </c>
      <c r="Q9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25400</v>
      </c>
      <c r="R9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96" spans="1:19" x14ac:dyDescent="0.35">
      <c r="A96" t="s">
        <v>350</v>
      </c>
      <c r="B96" t="s">
        <v>393</v>
      </c>
      <c r="C96" t="s">
        <v>393</v>
      </c>
      <c r="D96" t="s">
        <v>26</v>
      </c>
      <c r="F96" s="47">
        <v>235</v>
      </c>
      <c r="G96" s="48">
        <v>58.96</v>
      </c>
      <c r="H96" s="61">
        <f>VALUE(LEFT(tbl_transaction[[#This Row],[Order Date]],FIND("/",tbl_transaction[[#This Row],[Order Date]])-1))</f>
        <v>11</v>
      </c>
      <c r="I9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6" s="61" t="str">
        <f>MID(tbl_transaction[[#This Row],[Order Date]], FIND("/",tbl_transaction[[#This Row],[Order Date]], FIND("/", tbl_transaction[[#This Row],[Order Date]])+1)+1, 2)</f>
        <v>20</v>
      </c>
      <c r="K96" s="61">
        <f>VALUE(LEFT(tbl_transaction[[#This Row],[Transaction Date]],FIND("/",tbl_transaction[[#This Row],[Transaction Date]])-1))</f>
        <v>11</v>
      </c>
      <c r="L9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6" s="61" t="str">
        <f>MID(tbl_transaction[[#This Row],[Transaction Date]], FIND("/",tbl_transaction[[#This Row],[Transaction Date]], FIND("/", tbl_transaction[[#This Row],[Transaction Date]])+1)+1, 2)</f>
        <v>20</v>
      </c>
      <c r="N96" s="9">
        <f>DATE(tbl_transaction[[#This Row],[Year_order]]+2000, tbl_transaction[[#This Row],[Month_order]], tbl_transaction[[#This Row],[Date_order]])</f>
        <v>44141</v>
      </c>
      <c r="O96" s="9">
        <f>DATE(tbl_transaction[[#This Row],[Year_Transact]]+2000,tbl_transaction[[#This Row],[Month_Transact]],tbl_transaction[[#This Row],[Date_Transact]])</f>
        <v>44141</v>
      </c>
      <c r="P9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13855.6</v>
      </c>
      <c r="Q9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-13855.6</v>
      </c>
      <c r="R9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-235</v>
      </c>
    </row>
    <row r="97" spans="1:19" x14ac:dyDescent="0.35">
      <c r="A97" t="s">
        <v>341</v>
      </c>
      <c r="B97" t="s">
        <v>394</v>
      </c>
      <c r="C97" t="s">
        <v>394</v>
      </c>
      <c r="D97" t="s">
        <v>26</v>
      </c>
      <c r="F97" s="47">
        <v>1501</v>
      </c>
      <c r="G97" s="48">
        <v>12.67</v>
      </c>
      <c r="H97" s="61">
        <f>VALUE(LEFT(tbl_transaction[[#This Row],[Order Date]],FIND("/",tbl_transaction[[#This Row],[Order Date]])-1))</f>
        <v>11</v>
      </c>
      <c r="I9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7" s="61" t="str">
        <f>MID(tbl_transaction[[#This Row],[Order Date]], FIND("/",tbl_transaction[[#This Row],[Order Date]], FIND("/", tbl_transaction[[#This Row],[Order Date]])+1)+1, 2)</f>
        <v>20</v>
      </c>
      <c r="K97" s="61">
        <f>VALUE(LEFT(tbl_transaction[[#This Row],[Transaction Date]],FIND("/",tbl_transaction[[#This Row],[Transaction Date]])-1))</f>
        <v>11</v>
      </c>
      <c r="L9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7" s="61" t="str">
        <f>MID(tbl_transaction[[#This Row],[Transaction Date]], FIND("/",tbl_transaction[[#This Row],[Transaction Date]], FIND("/", tbl_transaction[[#This Row],[Transaction Date]])+1)+1, 2)</f>
        <v>20</v>
      </c>
      <c r="N97" s="9">
        <f>DATE(tbl_transaction[[#This Row],[Year_order]]+2000, tbl_transaction[[#This Row],[Month_order]], tbl_transaction[[#This Row],[Date_order]])</f>
        <v>44141</v>
      </c>
      <c r="O97" s="9">
        <f>DATE(tbl_transaction[[#This Row],[Year_Transact]]+2000,tbl_transaction[[#This Row],[Month_Transact]],tbl_transaction[[#This Row],[Date_Transact]])</f>
        <v>44141</v>
      </c>
      <c r="P9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19017.669999999998</v>
      </c>
      <c r="Q9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-19017.669999999998</v>
      </c>
      <c r="R9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-1501</v>
      </c>
    </row>
    <row r="98" spans="1:19" x14ac:dyDescent="0.35">
      <c r="A98" t="s">
        <v>240</v>
      </c>
      <c r="B98" t="s">
        <v>392</v>
      </c>
      <c r="C98" t="s">
        <v>392</v>
      </c>
      <c r="D98" t="s">
        <v>19</v>
      </c>
      <c r="F98" s="47">
        <v>4075</v>
      </c>
      <c r="G98" s="48">
        <v>4.9000000000000004</v>
      </c>
      <c r="H98" s="61">
        <f>VALUE(LEFT(tbl_transaction[[#This Row],[Order Date]],FIND("/",tbl_transaction[[#This Row],[Order Date]])-1))</f>
        <v>11</v>
      </c>
      <c r="I9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8" s="61" t="str">
        <f>MID(tbl_transaction[[#This Row],[Order Date]], FIND("/",tbl_transaction[[#This Row],[Order Date]], FIND("/", tbl_transaction[[#This Row],[Order Date]])+1)+1, 2)</f>
        <v>20</v>
      </c>
      <c r="K98" s="61">
        <f>VALUE(LEFT(tbl_transaction[[#This Row],[Transaction Date]],FIND("/",tbl_transaction[[#This Row],[Transaction Date]])-1))</f>
        <v>11</v>
      </c>
      <c r="L9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8" s="61" t="str">
        <f>MID(tbl_transaction[[#This Row],[Transaction Date]], FIND("/",tbl_transaction[[#This Row],[Transaction Date]], FIND("/", tbl_transaction[[#This Row],[Transaction Date]])+1)+1, 2)</f>
        <v>20</v>
      </c>
      <c r="N98" s="9">
        <f>DATE(tbl_transaction[[#This Row],[Year_order]]+2000, tbl_transaction[[#This Row],[Month_order]], tbl_transaction[[#This Row],[Date_order]])</f>
        <v>44141</v>
      </c>
      <c r="O98" s="9">
        <f>DATE(tbl_transaction[[#This Row],[Year_Transact]]+2000,tbl_transaction[[#This Row],[Month_Transact]],tbl_transaction[[#This Row],[Date_Transact]])</f>
        <v>44141</v>
      </c>
      <c r="P9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-19967.5</v>
      </c>
      <c r="Q9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19967.5</v>
      </c>
      <c r="R9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4075</v>
      </c>
    </row>
    <row r="99" spans="1:19" x14ac:dyDescent="0.35">
      <c r="A99" t="s">
        <v>395</v>
      </c>
      <c r="B99" t="s">
        <v>399</v>
      </c>
      <c r="C99" t="s">
        <v>399</v>
      </c>
      <c r="D99" t="s">
        <v>19</v>
      </c>
      <c r="F99" s="47">
        <v>2500</v>
      </c>
      <c r="G99" s="48">
        <v>5.75</v>
      </c>
      <c r="H99" s="61">
        <f>VALUE(LEFT(tbl_transaction[[#This Row],[Order Date]],FIND("/",tbl_transaction[[#This Row],[Order Date]])-1))</f>
        <v>11</v>
      </c>
      <c r="I9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99" s="61" t="str">
        <f>MID(tbl_transaction[[#This Row],[Order Date]], FIND("/",tbl_transaction[[#This Row],[Order Date]], FIND("/", tbl_transaction[[#This Row],[Order Date]])+1)+1, 2)</f>
        <v>20</v>
      </c>
      <c r="K99" s="61">
        <f>VALUE(LEFT(tbl_transaction[[#This Row],[Transaction Date]],FIND("/",tbl_transaction[[#This Row],[Transaction Date]])-1))</f>
        <v>11</v>
      </c>
      <c r="L9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99" s="61" t="str">
        <f>MID(tbl_transaction[[#This Row],[Transaction Date]], FIND("/",tbl_transaction[[#This Row],[Transaction Date]], FIND("/", tbl_transaction[[#This Row],[Transaction Date]])+1)+1, 2)</f>
        <v>20</v>
      </c>
      <c r="N99" s="9">
        <f>DATE(tbl_transaction[[#This Row],[Year_order]]+2000, tbl_transaction[[#This Row],[Month_order]], tbl_transaction[[#This Row],[Date_order]])</f>
        <v>44141</v>
      </c>
      <c r="O99" s="9">
        <f>DATE(tbl_transaction[[#This Row],[Year_Transact]]+2000,tbl_transaction[[#This Row],[Month_Transact]],tbl_transaction[[#This Row],[Date_Transact]])</f>
        <v>44141</v>
      </c>
      <c r="P9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-14375</v>
      </c>
      <c r="Q9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14375</v>
      </c>
      <c r="R9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2500</v>
      </c>
    </row>
    <row r="100" spans="1:19" x14ac:dyDescent="0.35">
      <c r="A100" t="s">
        <v>400</v>
      </c>
      <c r="B100" t="s">
        <v>404</v>
      </c>
      <c r="C100" t="s">
        <v>404</v>
      </c>
      <c r="D100" t="s">
        <v>19</v>
      </c>
      <c r="F100" s="47">
        <v>200</v>
      </c>
      <c r="G100" s="48">
        <v>59.13</v>
      </c>
      <c r="H100" s="61">
        <f>VALUE(LEFT(tbl_transaction[[#This Row],[Order Date]],FIND("/",tbl_transaction[[#This Row],[Order Date]])-1))</f>
        <v>11</v>
      </c>
      <c r="I10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6</v>
      </c>
      <c r="J100" s="61" t="str">
        <f>MID(tbl_transaction[[#This Row],[Order Date]], FIND("/",tbl_transaction[[#This Row],[Order Date]], FIND("/", tbl_transaction[[#This Row],[Order Date]])+1)+1, 2)</f>
        <v>20</v>
      </c>
      <c r="K100" s="61">
        <f>VALUE(LEFT(tbl_transaction[[#This Row],[Transaction Date]],FIND("/",tbl_transaction[[#This Row],[Transaction Date]])-1))</f>
        <v>11</v>
      </c>
      <c r="L10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6</v>
      </c>
      <c r="M100" s="61" t="str">
        <f>MID(tbl_transaction[[#This Row],[Transaction Date]], FIND("/",tbl_transaction[[#This Row],[Transaction Date]], FIND("/", tbl_transaction[[#This Row],[Transaction Date]])+1)+1, 2)</f>
        <v>20</v>
      </c>
      <c r="N100" s="9">
        <f>DATE(tbl_transaction[[#This Row],[Year_order]]+2000, tbl_transaction[[#This Row],[Month_order]], tbl_transaction[[#This Row],[Date_order]])</f>
        <v>44141</v>
      </c>
      <c r="O100" s="9">
        <f>DATE(tbl_transaction[[#This Row],[Year_Transact]]+2000,tbl_transaction[[#This Row],[Month_Transact]],tbl_transaction[[#This Row],[Date_Transact]])</f>
        <v>44141</v>
      </c>
      <c r="P10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-11826</v>
      </c>
      <c r="Q10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11826</v>
      </c>
      <c r="R10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101" spans="1:19" x14ac:dyDescent="0.35">
      <c r="A101" t="s">
        <v>162</v>
      </c>
      <c r="B101">
        <f>SUBTOTAL(103,tbl_transaction[Order Date])</f>
        <v>96</v>
      </c>
      <c r="P101" s="11">
        <f>SUBTOTAL(109,tbl_transaction[Net_Cash_Change])</f>
        <v>-100173.02</v>
      </c>
      <c r="S101" s="47">
        <f>SUBTOTAL(109,tbl_transaction[Stock Holding Change])</f>
        <v>11695</v>
      </c>
    </row>
  </sheetData>
  <dataValidations count="3">
    <dataValidation type="list" allowBlank="1" showInputMessage="1" showErrorMessage="1" sqref="D5:D100" xr:uid="{00000000-0002-0000-0200-000000000000}">
      <formula1>Transactions</formula1>
    </dataValidation>
    <dataValidation type="list" allowBlank="1" showInputMessage="1" showErrorMessage="1" sqref="A5:A100" xr:uid="{00000000-0002-0000-0200-000001000000}">
      <formula1>Symbol</formula1>
    </dataValidation>
    <dataValidation type="whole" allowBlank="1" showInputMessage="1" showErrorMessage="1" sqref="F5:F100" xr:uid="{00000000-0002-0000-0200-000002000000}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Q4"/>
  <sheetViews>
    <sheetView topLeftCell="A4" workbookViewId="0">
      <selection activeCell="R8" sqref="R8"/>
    </sheetView>
  </sheetViews>
  <sheetFormatPr defaultRowHeight="14.5" x14ac:dyDescent="0.35"/>
  <sheetData>
    <row r="3" spans="2:17" ht="15.5" x14ac:dyDescent="0.35">
      <c r="B3" s="7" t="s">
        <v>301</v>
      </c>
      <c r="C3" s="7" t="s">
        <v>302</v>
      </c>
      <c r="D3" s="7"/>
      <c r="E3" s="7"/>
      <c r="F3" s="7"/>
      <c r="G3" s="7"/>
      <c r="H3" s="7"/>
      <c r="I3" s="7"/>
      <c r="J3" s="7"/>
      <c r="K3" s="7" t="s">
        <v>5</v>
      </c>
      <c r="L3" s="7" t="s">
        <v>303</v>
      </c>
      <c r="M3" s="7"/>
      <c r="N3" s="7"/>
      <c r="O3" s="7"/>
      <c r="P3" s="7"/>
      <c r="Q3" s="7"/>
    </row>
    <row r="4" spans="2:17" ht="15.5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 t="s">
        <v>304</v>
      </c>
      <c r="M4" s="7"/>
      <c r="N4" s="7"/>
      <c r="O4" s="7"/>
      <c r="P4" s="7"/>
      <c r="Q4" s="7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O8"/>
  <sheetViews>
    <sheetView workbookViewId="0">
      <selection activeCell="K7" sqref="K7:K8"/>
    </sheetView>
  </sheetViews>
  <sheetFormatPr defaultRowHeight="14.5" x14ac:dyDescent="0.35"/>
  <sheetData>
    <row r="2" spans="1:15" x14ac:dyDescent="0.35">
      <c r="A2" s="1" t="s">
        <v>305</v>
      </c>
    </row>
    <row r="4" spans="1:15" x14ac:dyDescent="0.35">
      <c r="A4" t="s">
        <v>306</v>
      </c>
      <c r="J4" s="137"/>
      <c r="K4" s="139"/>
      <c r="L4" s="140"/>
      <c r="M4" s="141"/>
      <c r="N4" s="136"/>
      <c r="O4" s="136"/>
    </row>
    <row r="5" spans="1:15" x14ac:dyDescent="0.35">
      <c r="A5" t="s">
        <v>307</v>
      </c>
      <c r="F5" s="137"/>
      <c r="G5" s="139"/>
      <c r="H5" s="140"/>
      <c r="I5" s="141"/>
      <c r="J5" s="136"/>
      <c r="K5" s="136"/>
    </row>
    <row r="6" spans="1:15" x14ac:dyDescent="0.35">
      <c r="A6" t="s">
        <v>308</v>
      </c>
      <c r="I6" s="136"/>
      <c r="J6" s="136"/>
      <c r="K6" s="136"/>
      <c r="L6" s="136"/>
      <c r="M6" s="136"/>
      <c r="N6" s="136"/>
    </row>
    <row r="7" spans="1:15" x14ac:dyDescent="0.35">
      <c r="A7" t="s">
        <v>309</v>
      </c>
      <c r="H7" s="137"/>
      <c r="I7" s="139"/>
      <c r="J7" s="140"/>
      <c r="K7" s="141"/>
    </row>
    <row r="8" spans="1:15" x14ac:dyDescent="0.35">
      <c r="A8" t="s">
        <v>310</v>
      </c>
      <c r="H8" s="137"/>
      <c r="I8" s="139"/>
      <c r="J8" s="140"/>
      <c r="K8" s="141"/>
      <c r="L8" s="136"/>
      <c r="M8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25"/>
  <sheetViews>
    <sheetView workbookViewId="0">
      <selection activeCell="A26" sqref="A26"/>
    </sheetView>
  </sheetViews>
  <sheetFormatPr defaultRowHeight="14.5" x14ac:dyDescent="0.35"/>
  <cols>
    <col min="1" max="1" width="10.453125" customWidth="1"/>
    <col min="3" max="3" width="15.453125" customWidth="1"/>
    <col min="5" max="5" width="11.7265625" customWidth="1"/>
    <col min="8" max="8" width="12" customWidth="1"/>
  </cols>
  <sheetData>
    <row r="3" spans="1:9" ht="15.5" x14ac:dyDescent="0.3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3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3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3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35">
      <c r="A7" t="s">
        <v>22</v>
      </c>
      <c r="C7" t="s">
        <v>34</v>
      </c>
    </row>
    <row r="8" spans="1:9" x14ac:dyDescent="0.35">
      <c r="A8" t="s">
        <v>37</v>
      </c>
    </row>
    <row r="9" spans="1:9" x14ac:dyDescent="0.35">
      <c r="A9" t="s">
        <v>217</v>
      </c>
    </row>
    <row r="10" spans="1:9" x14ac:dyDescent="0.35">
      <c r="A10" t="s">
        <v>35</v>
      </c>
    </row>
    <row r="11" spans="1:9" x14ac:dyDescent="0.35">
      <c r="A11" t="s">
        <v>20</v>
      </c>
    </row>
    <row r="12" spans="1:9" x14ac:dyDescent="0.35">
      <c r="A12" t="s">
        <v>240</v>
      </c>
    </row>
    <row r="13" spans="1:9" x14ac:dyDescent="0.35">
      <c r="A13" t="s">
        <v>29</v>
      </c>
    </row>
    <row r="14" spans="1:9" x14ac:dyDescent="0.35">
      <c r="A14" t="s">
        <v>312</v>
      </c>
    </row>
    <row r="15" spans="1:9" x14ac:dyDescent="0.35">
      <c r="A15" t="s">
        <v>321</v>
      </c>
    </row>
    <row r="16" spans="1:9" x14ac:dyDescent="0.35">
      <c r="A16" t="s">
        <v>328</v>
      </c>
    </row>
    <row r="17" spans="1:1" x14ac:dyDescent="0.35">
      <c r="A17" t="s">
        <v>334</v>
      </c>
    </row>
    <row r="18" spans="1:1" x14ac:dyDescent="0.35">
      <c r="A18" t="s">
        <v>341</v>
      </c>
    </row>
    <row r="19" spans="1:1" x14ac:dyDescent="0.35">
      <c r="A19" t="s">
        <v>350</v>
      </c>
    </row>
    <row r="20" spans="1:1" x14ac:dyDescent="0.35">
      <c r="A20" t="s">
        <v>360</v>
      </c>
    </row>
    <row r="21" spans="1:1" x14ac:dyDescent="0.35">
      <c r="A21" t="s">
        <v>365</v>
      </c>
    </row>
    <row r="22" spans="1:1" x14ac:dyDescent="0.35">
      <c r="A22" t="s">
        <v>381</v>
      </c>
    </row>
    <row r="23" spans="1:1" x14ac:dyDescent="0.35">
      <c r="A23" t="s">
        <v>387</v>
      </c>
    </row>
    <row r="24" spans="1:1" x14ac:dyDescent="0.35">
      <c r="A24" t="s">
        <v>395</v>
      </c>
    </row>
    <row r="25" spans="1:1" x14ac:dyDescent="0.35">
      <c r="A25" t="s">
        <v>400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52"/>
  <sheetViews>
    <sheetView topLeftCell="AU39" workbookViewId="0">
      <selection activeCell="AX52" sqref="AX52"/>
    </sheetView>
  </sheetViews>
  <sheetFormatPr defaultRowHeight="14.5" x14ac:dyDescent="0.35"/>
  <cols>
    <col min="1" max="1" width="9.7265625" bestFit="1" customWidth="1"/>
    <col min="2" max="2" width="14" customWidth="1"/>
    <col min="3" max="4" width="12.7265625" customWidth="1"/>
    <col min="5" max="5" width="13.453125" customWidth="1"/>
    <col min="6" max="6" width="12.1796875" customWidth="1"/>
    <col min="7" max="9" width="13.1796875" customWidth="1"/>
    <col min="10" max="10" width="13.453125" customWidth="1"/>
    <col min="11" max="11" width="13.1796875" customWidth="1"/>
    <col min="12" max="12" width="14.54296875" customWidth="1"/>
    <col min="13" max="13" width="12.54296875" customWidth="1"/>
    <col min="14" max="14" width="16.7265625" customWidth="1"/>
    <col min="15" max="15" width="15.54296875" customWidth="1"/>
    <col min="16" max="20" width="16.453125" customWidth="1"/>
    <col min="21" max="21" width="16.81640625" customWidth="1"/>
    <col min="22" max="22" width="15.453125" customWidth="1"/>
    <col min="23" max="23" width="15.81640625" customWidth="1"/>
    <col min="24" max="24" width="17.453125" customWidth="1"/>
    <col min="25" max="25" width="11.81640625" customWidth="1"/>
    <col min="26" max="26" width="13" customWidth="1"/>
    <col min="27" max="27" width="11.26953125" customWidth="1"/>
    <col min="28" max="28" width="11.7265625" customWidth="1"/>
    <col min="29" max="29" width="12.81640625" customWidth="1"/>
    <col min="30" max="30" width="13.54296875" customWidth="1"/>
    <col min="31" max="31" width="11.54296875" customWidth="1"/>
    <col min="32" max="32" width="13.26953125" customWidth="1"/>
    <col min="33" max="33" width="15.1796875" customWidth="1"/>
    <col min="34" max="34" width="12.36328125" customWidth="1"/>
    <col min="35" max="35" width="11.453125" customWidth="1"/>
    <col min="36" max="36" width="12" customWidth="1"/>
    <col min="37" max="37" width="11.90625" customWidth="1"/>
    <col min="38" max="38" width="11.54296875" customWidth="1"/>
    <col min="39" max="39" width="12.08984375" customWidth="1"/>
    <col min="40" max="40" width="11.90625" customWidth="1"/>
    <col min="41" max="41" width="13.81640625" customWidth="1"/>
    <col min="42" max="42" width="12.08984375" customWidth="1"/>
    <col min="43" max="43" width="11.1796875" customWidth="1"/>
    <col min="44" max="44" width="12.81640625" customWidth="1"/>
    <col min="45" max="45" width="14.453125" customWidth="1"/>
    <col min="46" max="46" width="16.81640625" customWidth="1"/>
    <col min="47" max="47" width="14.08984375" customWidth="1"/>
    <col min="48" max="48" width="12.6328125" customWidth="1"/>
    <col min="49" max="49" width="13.08984375" customWidth="1"/>
    <col min="50" max="50" width="11.26953125" customWidth="1"/>
  </cols>
  <sheetData>
    <row r="1" spans="1:50" ht="21" x14ac:dyDescent="0.5">
      <c r="A1" s="41" t="s">
        <v>126</v>
      </c>
      <c r="B1" s="41"/>
      <c r="C1" s="41"/>
      <c r="D1" s="41"/>
      <c r="E1" s="41"/>
    </row>
    <row r="2" spans="1:50" ht="15.5" x14ac:dyDescent="0.35">
      <c r="A2" t="s">
        <v>127</v>
      </c>
    </row>
    <row r="4" spans="1:50" x14ac:dyDescent="0.3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317</v>
      </c>
      <c r="M4" t="s">
        <v>322</v>
      </c>
      <c r="N4" t="s">
        <v>330</v>
      </c>
      <c r="O4" t="s">
        <v>335</v>
      </c>
      <c r="P4" t="s">
        <v>342</v>
      </c>
      <c r="Q4" t="s">
        <v>353</v>
      </c>
      <c r="R4" t="s">
        <v>361</v>
      </c>
      <c r="S4" t="s">
        <v>366</v>
      </c>
      <c r="T4" t="s">
        <v>382</v>
      </c>
      <c r="U4" t="s">
        <v>388</v>
      </c>
      <c r="V4" t="s">
        <v>397</v>
      </c>
      <c r="W4" t="s">
        <v>402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246</v>
      </c>
      <c r="AE4" t="s">
        <v>247</v>
      </c>
      <c r="AF4" t="s">
        <v>248</v>
      </c>
      <c r="AG4" t="s">
        <v>249</v>
      </c>
      <c r="AH4" t="s">
        <v>318</v>
      </c>
      <c r="AI4" t="s">
        <v>323</v>
      </c>
      <c r="AJ4" t="s">
        <v>331</v>
      </c>
      <c r="AK4" t="s">
        <v>336</v>
      </c>
      <c r="AL4" t="s">
        <v>343</v>
      </c>
      <c r="AM4" t="s">
        <v>354</v>
      </c>
      <c r="AN4" t="s">
        <v>362</v>
      </c>
      <c r="AO4" t="s">
        <v>367</v>
      </c>
      <c r="AP4" t="s">
        <v>383</v>
      </c>
      <c r="AQ4" t="s">
        <v>389</v>
      </c>
      <c r="AR4" t="s">
        <v>398</v>
      </c>
      <c r="AS4" t="s">
        <v>403</v>
      </c>
      <c r="AT4" t="s">
        <v>71</v>
      </c>
      <c r="AU4" t="s">
        <v>72</v>
      </c>
      <c r="AV4" t="s">
        <v>165</v>
      </c>
      <c r="AW4" t="s">
        <v>167</v>
      </c>
      <c r="AX4" t="s">
        <v>405</v>
      </c>
    </row>
    <row r="5" spans="1:50" x14ac:dyDescent="0.3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$X4)</f>
        <v>150</v>
      </c>
      <c r="Y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$Y4)</f>
        <v>1500</v>
      </c>
      <c r="Z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$Z4)</f>
        <v>50</v>
      </c>
      <c r="AA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$AA4)</f>
        <v>0</v>
      </c>
      <c r="AB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$AB4)</f>
        <v>0</v>
      </c>
      <c r="AC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$AC4)</f>
        <v>0</v>
      </c>
      <c r="AD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$AD4)</f>
        <v>0</v>
      </c>
      <c r="AE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$AE4)</f>
        <v>0</v>
      </c>
      <c r="AF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$AF4)</f>
        <v>0</v>
      </c>
      <c r="AG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$AG4)</f>
        <v>0</v>
      </c>
      <c r="AH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$AH4)</f>
        <v>0</v>
      </c>
      <c r="AI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$AI4)</f>
        <v>0</v>
      </c>
      <c r="AJ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$AJ4)</f>
        <v>0</v>
      </c>
      <c r="AK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$AK4)</f>
        <v>0</v>
      </c>
      <c r="AL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$AL4)</f>
        <v>0</v>
      </c>
      <c r="AM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$AM4)</f>
        <v>0</v>
      </c>
      <c r="AN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$AN4)</f>
        <v>0</v>
      </c>
      <c r="AO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$AO4)</f>
        <v>0</v>
      </c>
      <c r="AP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$AP4)</f>
        <v>0</v>
      </c>
      <c r="AQ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$AQ4)</f>
        <v>0</v>
      </c>
      <c r="AR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$AR4)</f>
        <v>0</v>
      </c>
      <c r="AS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$AS4)</f>
        <v>0</v>
      </c>
      <c r="AT5" s="10"/>
      <c r="AU5" s="10">
        <v>63691.13</v>
      </c>
      <c r="AV5" s="11">
        <f>SUMIFS(tbl_transaction[Net_Debt_Change], tbl_transaction[Transaction_Date],tbl_position[[#This Row],[Date]])+IF(tbl_position[[#This Row],[Date]]=$A$5, 0, $AV4)</f>
        <v>0</v>
      </c>
      <c r="AW5" s="48">
        <f>tbl_position[[#This Row],[Shares_Holding]]+tbl_position[[#This Row],[Cash_Holding]]-tbl_position[[#This Row],[Liabilities_Holding]]</f>
        <v>63691.13</v>
      </c>
      <c r="AX5" s="48">
        <v>98555.13</v>
      </c>
    </row>
    <row r="6" spans="1:50" x14ac:dyDescent="0.3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$X5)</f>
        <v>100</v>
      </c>
      <c r="Y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$Y5)</f>
        <v>1000</v>
      </c>
      <c r="Z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$Z5)</f>
        <v>50</v>
      </c>
      <c r="AA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$AA5)</f>
        <v>0</v>
      </c>
      <c r="AB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$AB5)</f>
        <v>0</v>
      </c>
      <c r="AC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$AC5)</f>
        <v>100</v>
      </c>
      <c r="AD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$AD5)</f>
        <v>0</v>
      </c>
      <c r="AE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$AE5)</f>
        <v>0</v>
      </c>
      <c r="AF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$AF5)</f>
        <v>0</v>
      </c>
      <c r="AG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$AG5)</f>
        <v>0</v>
      </c>
      <c r="AH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$AH5)</f>
        <v>0</v>
      </c>
      <c r="AI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$AI5)</f>
        <v>0</v>
      </c>
      <c r="AJ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$AJ5)</f>
        <v>0</v>
      </c>
      <c r="AK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$AK5)</f>
        <v>0</v>
      </c>
      <c r="AL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$AL5)</f>
        <v>0</v>
      </c>
      <c r="AM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$AM5)</f>
        <v>0</v>
      </c>
      <c r="AN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$AN5)</f>
        <v>0</v>
      </c>
      <c r="AO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$AO5)</f>
        <v>0</v>
      </c>
      <c r="AP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$AP5)</f>
        <v>0</v>
      </c>
      <c r="AQ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$AQ5)</f>
        <v>0</v>
      </c>
      <c r="AR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$AR5)</f>
        <v>0</v>
      </c>
      <c r="AS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$AS5)</f>
        <v>0</v>
      </c>
      <c r="AT6" s="10"/>
      <c r="AU6" s="10">
        <v>65025.29</v>
      </c>
      <c r="AV6" s="11">
        <f>SUMIFS(tbl_transaction[Net_Debt_Change], tbl_transaction[Transaction_Date],tbl_position[[#This Row],[Date]])+IF(tbl_position[[#This Row],[Date]]=$A$5, 0, $AV5)</f>
        <v>-34</v>
      </c>
      <c r="AW6" s="48">
        <f>tbl_position[[#This Row],[Shares_Holding]]+tbl_position[[#This Row],[Cash_Holding]]-tbl_position[[#This Row],[Liabilities_Holding]]</f>
        <v>65059.29</v>
      </c>
      <c r="AX6" s="48">
        <v>98652.29</v>
      </c>
    </row>
    <row r="7" spans="1:50" x14ac:dyDescent="0.3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$X6)</f>
        <v>100</v>
      </c>
      <c r="Y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$Y6)</f>
        <v>1000</v>
      </c>
      <c r="Z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$Z6)</f>
        <v>50</v>
      </c>
      <c r="AA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$AA6)</f>
        <v>0</v>
      </c>
      <c r="AB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$AB6)</f>
        <v>0</v>
      </c>
      <c r="AC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$AC6)</f>
        <v>0</v>
      </c>
      <c r="AD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$AD6)</f>
        <v>0</v>
      </c>
      <c r="AE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$AE6)</f>
        <v>0</v>
      </c>
      <c r="AF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$AF6)</f>
        <v>250</v>
      </c>
      <c r="AG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$AG6)</f>
        <v>0</v>
      </c>
      <c r="AH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$AH6)</f>
        <v>0</v>
      </c>
      <c r="AI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$AI6)</f>
        <v>0</v>
      </c>
      <c r="AJ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$AJ6)</f>
        <v>0</v>
      </c>
      <c r="AK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$AK6)</f>
        <v>0</v>
      </c>
      <c r="AL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$AL6)</f>
        <v>0</v>
      </c>
      <c r="AM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$AM6)</f>
        <v>0</v>
      </c>
      <c r="AN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$AN6)</f>
        <v>0</v>
      </c>
      <c r="AO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$AO6)</f>
        <v>0</v>
      </c>
      <c r="AP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$AP6)</f>
        <v>0</v>
      </c>
      <c r="AQ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$AQ6)</f>
        <v>0</v>
      </c>
      <c r="AR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$AR6)</f>
        <v>0</v>
      </c>
      <c r="AS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$AS6)</f>
        <v>0</v>
      </c>
      <c r="AT7" s="10"/>
      <c r="AU7" s="10">
        <v>62120.23</v>
      </c>
      <c r="AV7" s="11">
        <f>SUMIFS(tbl_transaction[Net_Debt_Change], tbl_transaction[Transaction_Date],tbl_position[[#This Row],[Date]])+IF(tbl_position[[#This Row],[Date]]=$A$5, 0, $AV6)</f>
        <v>-450</v>
      </c>
      <c r="AW7" s="48">
        <f>tbl_position[[#This Row],[Shares_Holding]]+tbl_position[[#This Row],[Cash_Holding]]-tbl_position[[#This Row],[Liabilities_Holding]]</f>
        <v>62570.23</v>
      </c>
      <c r="AX7" s="48">
        <v>99646.73</v>
      </c>
    </row>
    <row r="8" spans="1:50" x14ac:dyDescent="0.3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$X7)</f>
        <v>100</v>
      </c>
      <c r="Y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$Y7)</f>
        <v>1000</v>
      </c>
      <c r="Z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$Z7)</f>
        <v>50</v>
      </c>
      <c r="AA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$AA7)</f>
        <v>0</v>
      </c>
      <c r="AB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$AB7)</f>
        <v>0</v>
      </c>
      <c r="AC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$AC7)</f>
        <v>0</v>
      </c>
      <c r="AD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$AD7)</f>
        <v>0</v>
      </c>
      <c r="AE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$AE7)</f>
        <v>0</v>
      </c>
      <c r="AF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$AF7)</f>
        <v>250</v>
      </c>
      <c r="AG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$AG7)</f>
        <v>0</v>
      </c>
      <c r="AH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$AH7)</f>
        <v>0</v>
      </c>
      <c r="AI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$AI7)</f>
        <v>0</v>
      </c>
      <c r="AJ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$AJ7)</f>
        <v>0</v>
      </c>
      <c r="AK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$AK7)</f>
        <v>0</v>
      </c>
      <c r="AL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$AL7)</f>
        <v>0</v>
      </c>
      <c r="AM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$AM7)</f>
        <v>0</v>
      </c>
      <c r="AN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$AN7)</f>
        <v>0</v>
      </c>
      <c r="AO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$AO7)</f>
        <v>0</v>
      </c>
      <c r="AP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$AP7)</f>
        <v>0</v>
      </c>
      <c r="AQ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$AQ7)</f>
        <v>0</v>
      </c>
      <c r="AR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$AR7)</f>
        <v>0</v>
      </c>
      <c r="AS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$AS7)</f>
        <v>0</v>
      </c>
      <c r="AT8" s="10"/>
      <c r="AU8" s="10">
        <v>62120.23</v>
      </c>
      <c r="AV8" s="11">
        <f>SUMIFS(tbl_transaction[Net_Debt_Change], tbl_transaction[Transaction_Date],tbl_position[[#This Row],[Date]])+IF(tbl_position[[#This Row],[Date]]=$A$5, 0, $AV7)</f>
        <v>-450</v>
      </c>
      <c r="AW8" s="48">
        <f>tbl_position[[#This Row],[Shares_Holding]]+tbl_position[[#This Row],[Cash_Holding]]-tbl_position[[#This Row],[Liabilities_Holding]]</f>
        <v>62570.23</v>
      </c>
      <c r="AX8" s="48">
        <v>99160.23</v>
      </c>
    </row>
    <row r="9" spans="1:50" x14ac:dyDescent="0.3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$X8)</f>
        <v>100</v>
      </c>
      <c r="Y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$Y8)</f>
        <v>0</v>
      </c>
      <c r="Z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$Z8)</f>
        <v>50</v>
      </c>
      <c r="AA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$AA8)</f>
        <v>0</v>
      </c>
      <c r="AB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$AB8)</f>
        <v>100</v>
      </c>
      <c r="AC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$AC8)</f>
        <v>0</v>
      </c>
      <c r="AD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$AD8)</f>
        <v>0</v>
      </c>
      <c r="AE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$AE8)</f>
        <v>0</v>
      </c>
      <c r="AF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$AF8)</f>
        <v>200</v>
      </c>
      <c r="AG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$AG8)</f>
        <v>0</v>
      </c>
      <c r="AH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$AH8)</f>
        <v>0</v>
      </c>
      <c r="AI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$AI8)</f>
        <v>0</v>
      </c>
      <c r="AJ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$AJ8)</f>
        <v>0</v>
      </c>
      <c r="AK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$AK8)</f>
        <v>0</v>
      </c>
      <c r="AL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$AL8)</f>
        <v>0</v>
      </c>
      <c r="AM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$AM8)</f>
        <v>0</v>
      </c>
      <c r="AN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$AN8)</f>
        <v>0</v>
      </c>
      <c r="AO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$AO8)</f>
        <v>0</v>
      </c>
      <c r="AP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$AP8)</f>
        <v>0</v>
      </c>
      <c r="AQ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$AQ8)</f>
        <v>0</v>
      </c>
      <c r="AR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$AR8)</f>
        <v>0</v>
      </c>
      <c r="AS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$AS8)</f>
        <v>0</v>
      </c>
      <c r="AT9" s="10"/>
      <c r="AU9" s="10">
        <v>60942.06</v>
      </c>
      <c r="AV9" s="11">
        <f>SUMIFS(tbl_transaction[Net_Debt_Change], tbl_transaction[Transaction_Date],tbl_position[[#This Row],[Date]])+IF(tbl_position[[#This Row],[Date]]=$A$5, 0, $AV8)</f>
        <v>6192.4</v>
      </c>
      <c r="AW9" s="48">
        <f>tbl_position[[#This Row],[Shares_Holding]]+tbl_position[[#This Row],[Cash_Holding]]-tbl_position[[#This Row],[Liabilities_Holding]]</f>
        <v>54749.659999999996</v>
      </c>
      <c r="AX9" s="48">
        <v>98649.919999999998</v>
      </c>
    </row>
    <row r="10" spans="1:50" x14ac:dyDescent="0.3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$X9)</f>
        <v>100</v>
      </c>
      <c r="Y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$Y9)</f>
        <v>0</v>
      </c>
      <c r="Z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$Z9)</f>
        <v>50</v>
      </c>
      <c r="AA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$AA9)</f>
        <v>0</v>
      </c>
      <c r="AB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$AB9)</f>
        <v>100</v>
      </c>
      <c r="AC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$AC9)</f>
        <v>0</v>
      </c>
      <c r="AD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$AD9)</f>
        <v>100</v>
      </c>
      <c r="AE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$AE9)</f>
        <v>0</v>
      </c>
      <c r="AF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$AF9)</f>
        <v>0</v>
      </c>
      <c r="AG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$AG9)</f>
        <v>1000</v>
      </c>
      <c r="AH1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$AH9)</f>
        <v>0</v>
      </c>
      <c r="AI1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$AI9)</f>
        <v>0</v>
      </c>
      <c r="AJ1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$AJ9)</f>
        <v>0</v>
      </c>
      <c r="AK1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$AK9)</f>
        <v>0</v>
      </c>
      <c r="AL1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$AL9)</f>
        <v>0</v>
      </c>
      <c r="AM1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$AM9)</f>
        <v>0</v>
      </c>
      <c r="AN1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$AN9)</f>
        <v>0</v>
      </c>
      <c r="AO1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$AO9)</f>
        <v>0</v>
      </c>
      <c r="AP1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$AP9)</f>
        <v>0</v>
      </c>
      <c r="AQ1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$AQ9)</f>
        <v>0</v>
      </c>
      <c r="AR1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$AR9)</f>
        <v>0</v>
      </c>
      <c r="AS1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$AS9)</f>
        <v>0</v>
      </c>
      <c r="AT10" s="10"/>
      <c r="AU10" s="10">
        <v>57331.31</v>
      </c>
      <c r="AV10" s="11">
        <f>SUMIFS(tbl_transaction[Net_Debt_Change], tbl_transaction[Transaction_Date],tbl_position[[#This Row],[Date]])+IF(tbl_position[[#This Row],[Date]]=$A$5, 0, $AV9)</f>
        <v>5492.9</v>
      </c>
      <c r="AW10" s="48">
        <f>tbl_position[[#This Row],[Shares_Holding]]+tbl_position[[#This Row],[Cash_Holding]]-tbl_position[[#This Row],[Liabilities_Holding]]</f>
        <v>51838.409999999996</v>
      </c>
      <c r="AX10" s="48">
        <v>98535.01</v>
      </c>
    </row>
    <row r="11" spans="1:50" x14ac:dyDescent="0.3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$X10)</f>
        <v>50</v>
      </c>
      <c r="Y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$Y10)</f>
        <v>0</v>
      </c>
      <c r="Z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$Z10)</f>
        <v>50</v>
      </c>
      <c r="AA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$AA10)</f>
        <v>0</v>
      </c>
      <c r="AB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$AB10)</f>
        <v>100</v>
      </c>
      <c r="AC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$AC10)</f>
        <v>0</v>
      </c>
      <c r="AD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$AD10)</f>
        <v>100</v>
      </c>
      <c r="AE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$AE10)</f>
        <v>0</v>
      </c>
      <c r="AF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$AF10)</f>
        <v>0</v>
      </c>
      <c r="AG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$AG10)</f>
        <v>0</v>
      </c>
      <c r="AH1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$AH10)</f>
        <v>0</v>
      </c>
      <c r="AI1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$AI10)</f>
        <v>0</v>
      </c>
      <c r="AJ1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$AJ10)</f>
        <v>0</v>
      </c>
      <c r="AK1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$AK10)</f>
        <v>0</v>
      </c>
      <c r="AL1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$AL10)</f>
        <v>0</v>
      </c>
      <c r="AM1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$AM10)</f>
        <v>0</v>
      </c>
      <c r="AN1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$AN10)</f>
        <v>0</v>
      </c>
      <c r="AO1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$AO10)</f>
        <v>0</v>
      </c>
      <c r="AP1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$AP10)</f>
        <v>0</v>
      </c>
      <c r="AQ1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$AQ10)</f>
        <v>0</v>
      </c>
      <c r="AR1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$AR10)</f>
        <v>0</v>
      </c>
      <c r="AS1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$AS10)</f>
        <v>0</v>
      </c>
      <c r="AT11" s="10"/>
      <c r="AU11" s="10">
        <v>62706.559999999998</v>
      </c>
      <c r="AV11" s="11">
        <f>SUMIFS(tbl_transaction[Net_Debt_Change], tbl_transaction[Transaction_Date],tbl_position[[#This Row],[Date]])+IF(tbl_position[[#This Row],[Date]]=$A$5, 0, $AV10)</f>
        <v>-407.10000000000036</v>
      </c>
      <c r="AW11" s="48">
        <f>tbl_position[[#This Row],[Shares_Holding]]+tbl_position[[#This Row],[Cash_Holding]]-tbl_position[[#This Row],[Liabilities_Holding]]</f>
        <v>63113.659999999996</v>
      </c>
      <c r="AX11" s="48">
        <v>97791.56</v>
      </c>
    </row>
    <row r="12" spans="1:50" x14ac:dyDescent="0.3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$X11)</f>
        <v>50</v>
      </c>
      <c r="Y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$Y11)</f>
        <v>0</v>
      </c>
      <c r="Z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$Z11)</f>
        <v>50</v>
      </c>
      <c r="AA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$AA11)</f>
        <v>0</v>
      </c>
      <c r="AB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$AB11)</f>
        <v>100</v>
      </c>
      <c r="AC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$AC11)</f>
        <v>0</v>
      </c>
      <c r="AD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$AD11)</f>
        <v>100</v>
      </c>
      <c r="AE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$AE11)</f>
        <v>0</v>
      </c>
      <c r="AF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$AF11)</f>
        <v>0</v>
      </c>
      <c r="AG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$AG11)</f>
        <v>4000</v>
      </c>
      <c r="AH1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$AH11)</f>
        <v>0</v>
      </c>
      <c r="AI1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$AI11)</f>
        <v>0</v>
      </c>
      <c r="AJ1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$AJ11)</f>
        <v>0</v>
      </c>
      <c r="AK1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$AK11)</f>
        <v>0</v>
      </c>
      <c r="AL1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$AL11)</f>
        <v>0</v>
      </c>
      <c r="AM1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$AM11)</f>
        <v>0</v>
      </c>
      <c r="AN1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$AN11)</f>
        <v>0</v>
      </c>
      <c r="AO1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$AO11)</f>
        <v>0</v>
      </c>
      <c r="AP1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$AP11)</f>
        <v>0</v>
      </c>
      <c r="AQ1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$AQ11)</f>
        <v>0</v>
      </c>
      <c r="AR1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$AR11)</f>
        <v>0</v>
      </c>
      <c r="AS1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$AS11)</f>
        <v>0</v>
      </c>
      <c r="AT12" s="10"/>
      <c r="AU12" s="10">
        <v>62706.559999999998</v>
      </c>
      <c r="AV12" s="11">
        <f>SUMIFS(tbl_transaction[Net_Debt_Change], tbl_transaction[Transaction_Date],tbl_position[[#This Row],[Date]])+IF(tbl_position[[#This Row],[Date]]=$A$5, 0, $AV11)</f>
        <v>-407.10000000000036</v>
      </c>
      <c r="AW12" s="48">
        <f>tbl_position[[#This Row],[Shares_Holding]]+tbl_position[[#This Row],[Cash_Holding]]-tbl_position[[#This Row],[Liabilities_Holding]]</f>
        <v>63113.659999999996</v>
      </c>
      <c r="AX12" s="48">
        <v>97070.16</v>
      </c>
    </row>
    <row r="13" spans="1:50" x14ac:dyDescent="0.3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$X12)</f>
        <v>50</v>
      </c>
      <c r="Y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$Y12)</f>
        <v>0</v>
      </c>
      <c r="Z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$Z12)</f>
        <v>50</v>
      </c>
      <c r="AA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$AA12)</f>
        <v>0</v>
      </c>
      <c r="AB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$AB12)</f>
        <v>100</v>
      </c>
      <c r="AC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$AC12)</f>
        <v>0</v>
      </c>
      <c r="AD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$AD12)</f>
        <v>100</v>
      </c>
      <c r="AE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$AE12)</f>
        <v>0</v>
      </c>
      <c r="AF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$AF12)</f>
        <v>0</v>
      </c>
      <c r="AG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$AG12)</f>
        <v>2000</v>
      </c>
      <c r="AH1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$AH12)</f>
        <v>0</v>
      </c>
      <c r="AI1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$AI12)</f>
        <v>0</v>
      </c>
      <c r="AJ1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$AJ12)</f>
        <v>0</v>
      </c>
      <c r="AK1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$AK12)</f>
        <v>0</v>
      </c>
      <c r="AL1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$AL12)</f>
        <v>0</v>
      </c>
      <c r="AM1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$AM12)</f>
        <v>0</v>
      </c>
      <c r="AN1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$AN12)</f>
        <v>0</v>
      </c>
      <c r="AO1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$AO12)</f>
        <v>0</v>
      </c>
      <c r="AP1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$AP12)</f>
        <v>0</v>
      </c>
      <c r="AQ1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$AQ12)</f>
        <v>0</v>
      </c>
      <c r="AR1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$AR12)</f>
        <v>0</v>
      </c>
      <c r="AS1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$AS12)</f>
        <v>0</v>
      </c>
      <c r="AT13" s="10"/>
      <c r="AU13" s="10">
        <v>37098.76</v>
      </c>
      <c r="AV13" s="11">
        <f>SUMIFS(tbl_transaction[Net_Debt_Change], tbl_transaction[Transaction_Date],tbl_position[[#This Row],[Date]])+IF(tbl_position[[#This Row],[Date]]=$A$5, 0, $AV12)</f>
        <v>-407.10000000000036</v>
      </c>
      <c r="AW13" s="48">
        <f>tbl_position[[#This Row],[Shares_Holding]]+tbl_position[[#This Row],[Cash_Holding]]-tbl_position[[#This Row],[Liabilities_Holding]]</f>
        <v>37505.86</v>
      </c>
      <c r="AX13" s="48">
        <v>96714.26</v>
      </c>
    </row>
    <row r="14" spans="1:50" x14ac:dyDescent="0.3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$X13)</f>
        <v>50</v>
      </c>
      <c r="Y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$Y13)</f>
        <v>0</v>
      </c>
      <c r="Z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$Z13)</f>
        <v>50</v>
      </c>
      <c r="AA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$AA13)</f>
        <v>0</v>
      </c>
      <c r="AB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$AB13)</f>
        <v>100</v>
      </c>
      <c r="AC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$AC13)</f>
        <v>0</v>
      </c>
      <c r="AD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$AD13)</f>
        <v>100</v>
      </c>
      <c r="AE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$AE13)</f>
        <v>50</v>
      </c>
      <c r="AF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$AF13)</f>
        <v>0</v>
      </c>
      <c r="AG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$AG13)</f>
        <v>980</v>
      </c>
      <c r="AH1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$AH13)</f>
        <v>0</v>
      </c>
      <c r="AI1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$AI13)</f>
        <v>0</v>
      </c>
      <c r="AJ1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$AJ13)</f>
        <v>0</v>
      </c>
      <c r="AK1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$AK13)</f>
        <v>0</v>
      </c>
      <c r="AL1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$AL13)</f>
        <v>0</v>
      </c>
      <c r="AM1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$AM13)</f>
        <v>0</v>
      </c>
      <c r="AN1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$AN13)</f>
        <v>0</v>
      </c>
      <c r="AO1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$AO13)</f>
        <v>0</v>
      </c>
      <c r="AP1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$AP13)</f>
        <v>0</v>
      </c>
      <c r="AQ1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$AQ13)</f>
        <v>0</v>
      </c>
      <c r="AR1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$AR13)</f>
        <v>0</v>
      </c>
      <c r="AS1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$AS13)</f>
        <v>0</v>
      </c>
      <c r="AT14" s="10"/>
      <c r="AU14" s="10">
        <v>43231.16</v>
      </c>
      <c r="AV14" s="11">
        <f>SUMIFS(tbl_transaction[Net_Debt_Change], tbl_transaction[Transaction_Date],tbl_position[[#This Row],[Date]])+IF(tbl_position[[#This Row],[Date]]=$A$5, 0, $AV13)</f>
        <v>-407.10000000000036</v>
      </c>
      <c r="AW14" s="48">
        <f>tbl_position[[#This Row],[Shares_Holding]]+tbl_position[[#This Row],[Cash_Holding]]-tbl_position[[#This Row],[Liabilities_Holding]]</f>
        <v>43638.26</v>
      </c>
      <c r="AX14" s="48">
        <v>95405.16</v>
      </c>
    </row>
    <row r="15" spans="1:50" x14ac:dyDescent="0.3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$X14)</f>
        <v>50</v>
      </c>
      <c r="Y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$Y14)</f>
        <v>0</v>
      </c>
      <c r="Z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$Z14)</f>
        <v>50</v>
      </c>
      <c r="AA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$AA14)</f>
        <v>0</v>
      </c>
      <c r="AB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$AB14)</f>
        <v>100</v>
      </c>
      <c r="AC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$AC14)</f>
        <v>0</v>
      </c>
      <c r="AD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$AD14)</f>
        <v>100</v>
      </c>
      <c r="AE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$AE14)</f>
        <v>50</v>
      </c>
      <c r="AF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$AF14)</f>
        <v>500</v>
      </c>
      <c r="AG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$AG14)</f>
        <v>980</v>
      </c>
      <c r="AH1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$AH14)</f>
        <v>0</v>
      </c>
      <c r="AI1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$AI14)</f>
        <v>0</v>
      </c>
      <c r="AJ1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$AJ14)</f>
        <v>0</v>
      </c>
      <c r="AK1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$AK14)</f>
        <v>0</v>
      </c>
      <c r="AL1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$AL14)</f>
        <v>0</v>
      </c>
      <c r="AM1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$AM14)</f>
        <v>0</v>
      </c>
      <c r="AN1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$AN14)</f>
        <v>0</v>
      </c>
      <c r="AO1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$AO14)</f>
        <v>0</v>
      </c>
      <c r="AP1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$AP14)</f>
        <v>0</v>
      </c>
      <c r="AQ1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$AQ14)</f>
        <v>0</v>
      </c>
      <c r="AR1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$AR14)</f>
        <v>0</v>
      </c>
      <c r="AS1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$AS14)</f>
        <v>0</v>
      </c>
      <c r="AT15" s="10"/>
      <c r="AU15" s="10">
        <v>43226.16</v>
      </c>
      <c r="AV15" s="11">
        <f>SUMIFS(tbl_transaction[Net_Debt_Change], tbl_transaction[Transaction_Date],tbl_position[[#This Row],[Date]])+IF(tbl_position[[#This Row],[Date]]=$A$5, 0, $AV14)</f>
        <v>9577.9</v>
      </c>
      <c r="AW15" s="48">
        <f>tbl_position[[#This Row],[Shares_Holding]]+tbl_position[[#This Row],[Cash_Holding]]-tbl_position[[#This Row],[Liabilities_Holding]]</f>
        <v>33648.26</v>
      </c>
      <c r="AX15" s="48">
        <v>95881.56</v>
      </c>
    </row>
    <row r="16" spans="1:50" x14ac:dyDescent="0.3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$X15)</f>
        <v>50</v>
      </c>
      <c r="Y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$Y15)</f>
        <v>0</v>
      </c>
      <c r="Z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$Z15)</f>
        <v>50</v>
      </c>
      <c r="AA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$AA15)</f>
        <v>0</v>
      </c>
      <c r="AB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$AB15)</f>
        <v>100</v>
      </c>
      <c r="AC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$AC15)</f>
        <v>0</v>
      </c>
      <c r="AD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$AD15)</f>
        <v>100</v>
      </c>
      <c r="AE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$AE15)</f>
        <v>50</v>
      </c>
      <c r="AF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$AF15)</f>
        <v>500</v>
      </c>
      <c r="AG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$AG15)</f>
        <v>980</v>
      </c>
      <c r="AH1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$AH15)</f>
        <v>0</v>
      </c>
      <c r="AI1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$AI15)</f>
        <v>0</v>
      </c>
      <c r="AJ1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$AJ15)</f>
        <v>0</v>
      </c>
      <c r="AK1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$AK15)</f>
        <v>0</v>
      </c>
      <c r="AL1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$AL15)</f>
        <v>0</v>
      </c>
      <c r="AM1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$AM15)</f>
        <v>0</v>
      </c>
      <c r="AN1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$AN15)</f>
        <v>0</v>
      </c>
      <c r="AO1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$AO15)</f>
        <v>0</v>
      </c>
      <c r="AP1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$AP15)</f>
        <v>0</v>
      </c>
      <c r="AQ1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$AQ15)</f>
        <v>0</v>
      </c>
      <c r="AR1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$AR15)</f>
        <v>0</v>
      </c>
      <c r="AS1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$AS15)</f>
        <v>0</v>
      </c>
      <c r="AT16" s="10"/>
      <c r="AU16" s="129">
        <v>43226.16</v>
      </c>
      <c r="AV16" s="11">
        <f>SUMIFS(tbl_transaction[Net_Debt_Change], tbl_transaction[Transaction_Date],tbl_position[[#This Row],[Date]])+IF(tbl_position[[#This Row],[Date]]=$A$5, 0, $AV15)</f>
        <v>9577.9</v>
      </c>
      <c r="AW16" s="48">
        <f>tbl_position[[#This Row],[Shares_Holding]]+tbl_position[[#This Row],[Cash_Holding]]-tbl_position[[#This Row],[Liabilities_Holding]]</f>
        <v>33648.26</v>
      </c>
      <c r="AX16" s="48">
        <v>96139.36</v>
      </c>
    </row>
    <row r="17" spans="1:50" x14ac:dyDescent="0.3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$X16)</f>
        <v>50</v>
      </c>
      <c r="Y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$Y16)</f>
        <v>0</v>
      </c>
      <c r="Z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$Z16)</f>
        <v>50</v>
      </c>
      <c r="AA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$AA16)</f>
        <v>0</v>
      </c>
      <c r="AB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$AB16)</f>
        <v>100</v>
      </c>
      <c r="AC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$AC16)</f>
        <v>0</v>
      </c>
      <c r="AD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$AD16)</f>
        <v>100</v>
      </c>
      <c r="AE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$AE16)</f>
        <v>50</v>
      </c>
      <c r="AF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$AF16)</f>
        <v>800</v>
      </c>
      <c r="AG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$AG16)</f>
        <v>0</v>
      </c>
      <c r="AH1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$AH16)</f>
        <v>0</v>
      </c>
      <c r="AI1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$AI16)</f>
        <v>0</v>
      </c>
      <c r="AJ1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$AJ16)</f>
        <v>0</v>
      </c>
      <c r="AK1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$AK16)</f>
        <v>0</v>
      </c>
      <c r="AL1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$AL16)</f>
        <v>0</v>
      </c>
      <c r="AM1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$AM16)</f>
        <v>0</v>
      </c>
      <c r="AN1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$AN16)</f>
        <v>0</v>
      </c>
      <c r="AO1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$AO16)</f>
        <v>0</v>
      </c>
      <c r="AP1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$AP16)</f>
        <v>0</v>
      </c>
      <c r="AQ1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$AQ16)</f>
        <v>0</v>
      </c>
      <c r="AR1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$AR16)</f>
        <v>0</v>
      </c>
      <c r="AS1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$AS16)</f>
        <v>0</v>
      </c>
      <c r="AT17" s="10"/>
      <c r="AU17" s="129">
        <v>48905.06</v>
      </c>
      <c r="AV17" s="11">
        <f>SUMIFS(tbl_transaction[Net_Debt_Change], tbl_transaction[Transaction_Date],tbl_position[[#This Row],[Date]])+IF(tbl_position[[#This Row],[Date]]=$A$5, 0, $AV16)</f>
        <v>15208.9</v>
      </c>
      <c r="AW17" s="48">
        <f>tbl_position[[#This Row],[Shares_Holding]]+tbl_position[[#This Row],[Cash_Holding]]-tbl_position[[#This Row],[Liabilities_Holding]]</f>
        <v>33696.159999999996</v>
      </c>
      <c r="AX17" s="48">
        <v>96495.8</v>
      </c>
    </row>
    <row r="18" spans="1:50" x14ac:dyDescent="0.3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$X17)</f>
        <v>50</v>
      </c>
      <c r="Y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$Y17)</f>
        <v>0</v>
      </c>
      <c r="Z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$Z17)</f>
        <v>50</v>
      </c>
      <c r="AA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$AA17)</f>
        <v>0</v>
      </c>
      <c r="AB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$AB17)</f>
        <v>100</v>
      </c>
      <c r="AC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$AC17)</f>
        <v>0</v>
      </c>
      <c r="AD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$AD17)</f>
        <v>100</v>
      </c>
      <c r="AE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$AE17)</f>
        <v>50</v>
      </c>
      <c r="AF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$AF17)</f>
        <v>800</v>
      </c>
      <c r="AG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$AG17)</f>
        <v>0</v>
      </c>
      <c r="AH1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$AH17)</f>
        <v>0</v>
      </c>
      <c r="AI1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$AI17)</f>
        <v>0</v>
      </c>
      <c r="AJ1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$AJ17)</f>
        <v>0</v>
      </c>
      <c r="AK1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$AK17)</f>
        <v>0</v>
      </c>
      <c r="AL1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$AL17)</f>
        <v>0</v>
      </c>
      <c r="AM1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$AM17)</f>
        <v>0</v>
      </c>
      <c r="AN1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$AN17)</f>
        <v>0</v>
      </c>
      <c r="AO1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$AO17)</f>
        <v>0</v>
      </c>
      <c r="AP1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$AP17)</f>
        <v>0</v>
      </c>
      <c r="AQ1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$AQ17)</f>
        <v>0</v>
      </c>
      <c r="AR1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$AR17)</f>
        <v>0</v>
      </c>
      <c r="AS1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$AS17)</f>
        <v>0</v>
      </c>
      <c r="AT18" s="10"/>
      <c r="AU18" s="129">
        <v>48905.06</v>
      </c>
      <c r="AV18" s="11">
        <f>SUMIFS(tbl_transaction[Net_Debt_Change], tbl_transaction[Transaction_Date],tbl_position[[#This Row],[Date]])+IF(tbl_position[[#This Row],[Date]]=$A$5, 0, $AV17)</f>
        <v>15208.9</v>
      </c>
      <c r="AW18" s="48">
        <f>tbl_position[[#This Row],[Shares_Holding]]+tbl_position[[#This Row],[Cash_Holding]]-tbl_position[[#This Row],[Liabilities_Holding]]</f>
        <v>33696.159999999996</v>
      </c>
      <c r="AX18" s="48">
        <v>97425.3</v>
      </c>
    </row>
    <row r="19" spans="1:50" x14ac:dyDescent="0.3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$X18)</f>
        <v>50</v>
      </c>
      <c r="Y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$Y18)</f>
        <v>0</v>
      </c>
      <c r="Z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$Z18)</f>
        <v>50</v>
      </c>
      <c r="AA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$AA18)</f>
        <v>0</v>
      </c>
      <c r="AB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$AB18)</f>
        <v>100</v>
      </c>
      <c r="AC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$AC18)</f>
        <v>0</v>
      </c>
      <c r="AD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$AD18)</f>
        <v>100</v>
      </c>
      <c r="AE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$AE18)</f>
        <v>50</v>
      </c>
      <c r="AF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$AF18)</f>
        <v>800</v>
      </c>
      <c r="AG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$AG18)</f>
        <v>0</v>
      </c>
      <c r="AH1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$AH18)</f>
        <v>0</v>
      </c>
      <c r="AI1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$AI18)</f>
        <v>0</v>
      </c>
      <c r="AJ1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$AJ18)</f>
        <v>0</v>
      </c>
      <c r="AK1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$AK18)</f>
        <v>0</v>
      </c>
      <c r="AL1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$AL18)</f>
        <v>0</v>
      </c>
      <c r="AM1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$AM18)</f>
        <v>0</v>
      </c>
      <c r="AN1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$AN18)</f>
        <v>0</v>
      </c>
      <c r="AO1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$AO18)</f>
        <v>0</v>
      </c>
      <c r="AP1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$AP18)</f>
        <v>0</v>
      </c>
      <c r="AQ1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$AQ18)</f>
        <v>0</v>
      </c>
      <c r="AR1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$AR18)</f>
        <v>0</v>
      </c>
      <c r="AS1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$AS18)</f>
        <v>0</v>
      </c>
      <c r="AT19" s="10"/>
      <c r="AU19" s="129">
        <v>48905.06</v>
      </c>
      <c r="AV19" s="11">
        <f>SUMIFS(tbl_transaction[Net_Debt_Change], tbl_transaction[Transaction_Date],tbl_position[[#This Row],[Date]])+IF(tbl_position[[#This Row],[Date]]=$A$5, 0, $AV18)</f>
        <v>15208.9</v>
      </c>
      <c r="AW19" s="48">
        <f>tbl_position[[#This Row],[Shares_Holding]]+tbl_position[[#This Row],[Cash_Holding]]-tbl_position[[#This Row],[Liabilities_Holding]]</f>
        <v>33696.159999999996</v>
      </c>
      <c r="AX19" s="48">
        <v>95621.8</v>
      </c>
    </row>
    <row r="20" spans="1:50" x14ac:dyDescent="0.3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$X19)</f>
        <v>50</v>
      </c>
      <c r="Y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$Y19)</f>
        <v>0</v>
      </c>
      <c r="Z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$Z19)</f>
        <v>50</v>
      </c>
      <c r="AA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$AA19)</f>
        <v>0</v>
      </c>
      <c r="AB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$AB19)</f>
        <v>100</v>
      </c>
      <c r="AC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$AC19)</f>
        <v>0</v>
      </c>
      <c r="AD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$AD19)</f>
        <v>100</v>
      </c>
      <c r="AE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$AE19)</f>
        <v>50</v>
      </c>
      <c r="AF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$AF19)</f>
        <v>800</v>
      </c>
      <c r="AG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$AG19)</f>
        <v>0</v>
      </c>
      <c r="AH2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$AH19)</f>
        <v>0</v>
      </c>
      <c r="AI2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$AI19)</f>
        <v>0</v>
      </c>
      <c r="AJ2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$AJ19)</f>
        <v>0</v>
      </c>
      <c r="AK2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$AK19)</f>
        <v>0</v>
      </c>
      <c r="AL2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$AL19)</f>
        <v>0</v>
      </c>
      <c r="AM2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$AM19)</f>
        <v>0</v>
      </c>
      <c r="AN2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$AN19)</f>
        <v>0</v>
      </c>
      <c r="AO2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$AO19)</f>
        <v>0</v>
      </c>
      <c r="AP2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$AP19)</f>
        <v>0</v>
      </c>
      <c r="AQ2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$AQ19)</f>
        <v>0</v>
      </c>
      <c r="AR2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$AR19)</f>
        <v>0</v>
      </c>
      <c r="AS2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$AS19)</f>
        <v>0</v>
      </c>
      <c r="AT20" s="10"/>
      <c r="AU20" s="129">
        <v>48905.06</v>
      </c>
      <c r="AV20" s="11">
        <f>SUMIFS(tbl_transaction[Net_Debt_Change], tbl_transaction[Transaction_Date],tbl_position[[#This Row],[Date]])+IF(tbl_position[[#This Row],[Date]]=$A$5, 0, $AV19)</f>
        <v>15208.9</v>
      </c>
      <c r="AW20" s="48">
        <f>tbl_position[[#This Row],[Shares_Holding]]+tbl_position[[#This Row],[Cash_Holding]]-tbl_position[[#This Row],[Liabilities_Holding]]</f>
        <v>33696.159999999996</v>
      </c>
      <c r="AX20" s="48">
        <v>92680.55</v>
      </c>
    </row>
    <row r="21" spans="1:50" x14ac:dyDescent="0.3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$X20)</f>
        <v>50</v>
      </c>
      <c r="Y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$Y20)</f>
        <v>0</v>
      </c>
      <c r="Z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$Z20)</f>
        <v>50</v>
      </c>
      <c r="AA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$AA20)</f>
        <v>0</v>
      </c>
      <c r="AB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$AB20)</f>
        <v>100</v>
      </c>
      <c r="AC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$AC20)</f>
        <v>0</v>
      </c>
      <c r="AD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$AD20)</f>
        <v>100</v>
      </c>
      <c r="AE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$AE20)</f>
        <v>50</v>
      </c>
      <c r="AF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$AF20)</f>
        <v>800</v>
      </c>
      <c r="AG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$AG20)</f>
        <v>0</v>
      </c>
      <c r="AH2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$AH20)</f>
        <v>0</v>
      </c>
      <c r="AI2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$AI20)</f>
        <v>0</v>
      </c>
      <c r="AJ2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$AJ20)</f>
        <v>0</v>
      </c>
      <c r="AK2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$AK20)</f>
        <v>0</v>
      </c>
      <c r="AL2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$AL20)</f>
        <v>0</v>
      </c>
      <c r="AM2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$AM20)</f>
        <v>0</v>
      </c>
      <c r="AN2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$AN20)</f>
        <v>0</v>
      </c>
      <c r="AO2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$AO20)</f>
        <v>0</v>
      </c>
      <c r="AP2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$AP20)</f>
        <v>0</v>
      </c>
      <c r="AQ2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$AQ20)</f>
        <v>0</v>
      </c>
      <c r="AR2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$AR20)</f>
        <v>0</v>
      </c>
      <c r="AS2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$AS20)</f>
        <v>0</v>
      </c>
      <c r="AT21" s="10"/>
      <c r="AU21" s="129">
        <v>48905.06</v>
      </c>
      <c r="AV21" s="11">
        <f>SUMIFS(tbl_transaction[Net_Debt_Change], tbl_transaction[Transaction_Date],tbl_position[[#This Row],[Date]])+IF(tbl_position[[#This Row],[Date]]=$A$5, 0, $AV20)</f>
        <v>15208.9</v>
      </c>
      <c r="AW21" s="48">
        <f>tbl_position[[#This Row],[Shares_Holding]]+tbl_position[[#This Row],[Cash_Holding]]-tbl_position[[#This Row],[Liabilities_Holding]]</f>
        <v>33696.159999999996</v>
      </c>
      <c r="AX21" s="48">
        <v>92461.8</v>
      </c>
    </row>
    <row r="22" spans="1:50" x14ac:dyDescent="0.3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$X21)</f>
        <v>50</v>
      </c>
      <c r="Y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$Y21)</f>
        <v>0</v>
      </c>
      <c r="Z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$Z21)</f>
        <v>50</v>
      </c>
      <c r="AA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$AA21)</f>
        <v>0</v>
      </c>
      <c r="AB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$AB21)</f>
        <v>100</v>
      </c>
      <c r="AC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$AC21)</f>
        <v>0</v>
      </c>
      <c r="AD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$AD21)</f>
        <v>100</v>
      </c>
      <c r="AE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$AE21)</f>
        <v>50</v>
      </c>
      <c r="AF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$AF21)</f>
        <v>800</v>
      </c>
      <c r="AG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$AG21)</f>
        <v>0</v>
      </c>
      <c r="AH2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$AH21)</f>
        <v>0</v>
      </c>
      <c r="AI2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$AI21)</f>
        <v>0</v>
      </c>
      <c r="AJ2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$AJ21)</f>
        <v>0</v>
      </c>
      <c r="AK2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$AK21)</f>
        <v>0</v>
      </c>
      <c r="AL2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$AL21)</f>
        <v>0</v>
      </c>
      <c r="AM2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$AM21)</f>
        <v>0</v>
      </c>
      <c r="AN2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$AN21)</f>
        <v>0</v>
      </c>
      <c r="AO2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$AO21)</f>
        <v>0</v>
      </c>
      <c r="AP2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$AP21)</f>
        <v>0</v>
      </c>
      <c r="AQ2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$AQ21)</f>
        <v>0</v>
      </c>
      <c r="AR2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$AR21)</f>
        <v>0</v>
      </c>
      <c r="AS2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$AS21)</f>
        <v>0</v>
      </c>
      <c r="AT22" s="10"/>
      <c r="AU22" s="129">
        <v>48905.06</v>
      </c>
      <c r="AV22" s="11">
        <f>SUMIFS(tbl_transaction[Net_Debt_Change], tbl_transaction[Transaction_Date],tbl_position[[#This Row],[Date]])+IF(tbl_position[[#This Row],[Date]]=$A$5, 0, $AV21)</f>
        <v>15208.9</v>
      </c>
      <c r="AW22" s="48">
        <f>tbl_position[[#This Row],[Shares_Holding]]+tbl_position[[#This Row],[Cash_Holding]]-tbl_position[[#This Row],[Liabilities_Holding]]</f>
        <v>33696.159999999996</v>
      </c>
      <c r="AX22" s="48">
        <v>93580.800000000003</v>
      </c>
    </row>
    <row r="23" spans="1:50" x14ac:dyDescent="0.35">
      <c r="A23" s="9">
        <v>44110</v>
      </c>
      <c r="B23" s="10">
        <f>VLOOKUP(tbl_position[[#This Row],[Date]], tbl_AAPL[], 5, 0)</f>
        <v>113.16</v>
      </c>
      <c r="C23" s="127">
        <f>VLOOKUP(tbl_position[[#This Row],[Date]], tbl_RIOT[], 5, 0)</f>
        <v>2.57</v>
      </c>
      <c r="D23" s="10">
        <f>VLOOKUP(tbl_position[[#This Row],[Date]], tbl_HD[], 5, 0)</f>
        <v>276.47000000000003</v>
      </c>
      <c r="E23" s="127">
        <f>VLOOKUP(tbl_position[[#This Row],[Date]], tbl_WMT[], 5, 0)</f>
        <v>140.63</v>
      </c>
      <c r="F23" s="127">
        <f>VLOOKUP(tbl_position[[#This Row],[Date]], tbl_IBM[], 5, 0)</f>
        <v>121.97</v>
      </c>
      <c r="G23" s="127">
        <f>VLOOKUP(tbl_position[[#This Row],[Date]], tbl_ORCL[], 5, 0)</f>
        <v>59.51</v>
      </c>
      <c r="H23" s="130">
        <f>VLOOKUP(tbl_position[[#This Row],[Date]], tbl_AKRO[], 5, 0)</f>
        <v>28.19</v>
      </c>
      <c r="I23" s="130">
        <f>VLOOKUP(tbl_position[[#This Row],[Date]], tbl_FDX[], 5, 0)</f>
        <v>259.27</v>
      </c>
      <c r="J23" s="130">
        <f>VLOOKUP(tbl_position[[#This Row],[Date]], tbl_NKLA[], 5, 0)</f>
        <v>23.57</v>
      </c>
      <c r="K23" s="130">
        <f>VLOOKUP(tbl_position[[#This Row],[Date]], tbl_SPXS[], 5, 0)</f>
        <v>5.75</v>
      </c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$X22)</f>
        <v>50</v>
      </c>
      <c r="Y2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$Y22)</f>
        <v>0</v>
      </c>
      <c r="Z2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$Z22)</f>
        <v>50</v>
      </c>
      <c r="AA2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$AA22)</f>
        <v>0</v>
      </c>
      <c r="AB2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$AB22)</f>
        <v>100</v>
      </c>
      <c r="AC2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$AC22)</f>
        <v>0</v>
      </c>
      <c r="AD2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$AD22)</f>
        <v>100</v>
      </c>
      <c r="AE2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$AE22)</f>
        <v>50</v>
      </c>
      <c r="AF2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$AF22)</f>
        <v>800</v>
      </c>
      <c r="AG2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$AG22)</f>
        <v>0</v>
      </c>
      <c r="AH2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$AH22)</f>
        <v>0</v>
      </c>
      <c r="AI2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$AI22)</f>
        <v>0</v>
      </c>
      <c r="AJ2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$AJ22)</f>
        <v>0</v>
      </c>
      <c r="AK2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$AK22)</f>
        <v>0</v>
      </c>
      <c r="AL2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$AL22)</f>
        <v>0</v>
      </c>
      <c r="AM2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$AM22)</f>
        <v>0</v>
      </c>
      <c r="AN2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$AN22)</f>
        <v>0</v>
      </c>
      <c r="AO2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$AO22)</f>
        <v>0</v>
      </c>
      <c r="AP2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$AP22)</f>
        <v>0</v>
      </c>
      <c r="AQ2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$AQ22)</f>
        <v>0</v>
      </c>
      <c r="AR2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$AR22)</f>
        <v>0</v>
      </c>
      <c r="AS2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$AS22)</f>
        <v>0</v>
      </c>
      <c r="AT23" s="10"/>
      <c r="AU23" s="130">
        <v>48905.06</v>
      </c>
      <c r="AV23" s="11">
        <f>SUMIFS(tbl_transaction[Net_Debt_Change], tbl_transaction[Transaction_Date],tbl_position[[#This Row],[Date]])+IF(tbl_position[[#This Row],[Date]]=$A$5, 0, $AV22)</f>
        <v>15208.9</v>
      </c>
      <c r="AW23" s="48">
        <f>tbl_position[[#This Row],[Shares_Holding]]+tbl_position[[#This Row],[Cash_Holding]]-tbl_position[[#This Row],[Liabilities_Holding]]</f>
        <v>33696.159999999996</v>
      </c>
      <c r="AX23" s="48">
        <v>93108.3</v>
      </c>
    </row>
    <row r="24" spans="1:50" x14ac:dyDescent="0.35">
      <c r="A24" s="9">
        <v>44111</v>
      </c>
      <c r="B24" s="10">
        <f>VLOOKUP(tbl_position[[#This Row],[Date]], tbl_AAPL[], 5, 0)</f>
        <v>115.08</v>
      </c>
      <c r="C24" s="127">
        <f>VLOOKUP(tbl_position[[#This Row],[Date]], tbl_RIOT[], 5, 0)</f>
        <v>2.66</v>
      </c>
      <c r="D24" s="10">
        <f>VLOOKUP(tbl_position[[#This Row],[Date]], tbl_HD[], 5, 0)</f>
        <v>282.79000000000002</v>
      </c>
      <c r="E24" s="127">
        <f>VLOOKUP(tbl_position[[#This Row],[Date]], tbl_WMT[], 5, 0)</f>
        <v>140.88999999999999</v>
      </c>
      <c r="F24" s="127">
        <f>VLOOKUP(tbl_position[[#This Row],[Date]], tbl_IBM[], 5, 0)</f>
        <v>124.07</v>
      </c>
      <c r="G24" s="127">
        <f>VLOOKUP(tbl_position[[#This Row],[Date]], tbl_ORCL[], 5, 0)</f>
        <v>60.59</v>
      </c>
      <c r="H24" s="130">
        <f>VLOOKUP(tbl_position[[#This Row],[Date]], tbl_AKRO[], 5, 0)</f>
        <v>28.74</v>
      </c>
      <c r="I24" s="130">
        <f>VLOOKUP(tbl_position[[#This Row],[Date]], tbl_FDX[], 5, 0)</f>
        <v>268.26</v>
      </c>
      <c r="J24" s="130">
        <f>VLOOKUP(tbl_position[[#This Row],[Date]], tbl_NKLA[], 5, 0)</f>
        <v>25.72</v>
      </c>
      <c r="K24" s="130">
        <f>VLOOKUP(tbl_position[[#This Row],[Date]], tbl_SPXS[], 5, 0)</f>
        <v>5.44</v>
      </c>
      <c r="L24" s="127">
        <f>VLOOKUP(tbl_position[[#This Row],[Date]], tbl_AMD[], 5, 0)</f>
        <v>86.690002000000007</v>
      </c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$X23)</f>
        <v>50</v>
      </c>
      <c r="Y2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$Y23)</f>
        <v>0</v>
      </c>
      <c r="Z2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$Z23)</f>
        <v>50</v>
      </c>
      <c r="AA2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$AA23)</f>
        <v>0</v>
      </c>
      <c r="AB2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$AB23)</f>
        <v>100</v>
      </c>
      <c r="AC2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$AC23)</f>
        <v>0</v>
      </c>
      <c r="AD2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$AD23)</f>
        <v>100</v>
      </c>
      <c r="AE2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$AE23)</f>
        <v>50</v>
      </c>
      <c r="AF2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$AF23)</f>
        <v>300</v>
      </c>
      <c r="AG2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$AG23)</f>
        <v>0</v>
      </c>
      <c r="AH2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$AH23)</f>
        <v>150</v>
      </c>
      <c r="AI2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$AI23)</f>
        <v>0</v>
      </c>
      <c r="AJ2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$AJ23)</f>
        <v>0</v>
      </c>
      <c r="AK2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$AK23)</f>
        <v>0</v>
      </c>
      <c r="AL2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$AL23)</f>
        <v>0</v>
      </c>
      <c r="AM2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$AM23)</f>
        <v>0</v>
      </c>
      <c r="AN2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$AN23)</f>
        <v>0</v>
      </c>
      <c r="AO2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$AO23)</f>
        <v>0</v>
      </c>
      <c r="AP2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$AP23)</f>
        <v>0</v>
      </c>
      <c r="AQ2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$AQ23)</f>
        <v>0</v>
      </c>
      <c r="AR2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$AR23)</f>
        <v>0</v>
      </c>
      <c r="AS2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$AS23)</f>
        <v>0</v>
      </c>
      <c r="AT24" s="10">
        <f ca="1" xml:space="preserve"> SUMPRODUCT(INDIRECT(ADDRESS(ROW(AT24), 2)):INDIRECT(ADDRESS(ROW(AT24), MATCH("Shares_AAPL", pos_header,0)-1)), INDIRECT(ADDRESS(ROW(AT24), MATCH("Shares_AAPL", pos_header,0))): INDIRECT(ADDRESS(ROW(AT24), MATCH("Shares_Holding", pos_header,0)-1)))</f>
        <v>69307.0003</v>
      </c>
      <c r="AU24" s="130">
        <v>33339.18</v>
      </c>
      <c r="AV24" s="11">
        <f>SUMIFS(tbl_transaction[Net_Debt_Change], tbl_transaction[Transaction_Date],tbl_position[[#This Row],[Date]])+IF(tbl_position[[#This Row],[Date]]=$A$5, 0, $AV23)</f>
        <v>2852.8999999999996</v>
      </c>
      <c r="AW24" s="48">
        <f ca="1">tbl_position[[#This Row],[Shares_Holding]]+tbl_position[[#This Row],[Cash_Holding]]-tbl_position[[#This Row],[Liabilities_Holding]]</f>
        <v>99793.280300000013</v>
      </c>
      <c r="AX24" s="48">
        <v>93069.65</v>
      </c>
    </row>
    <row r="25" spans="1:50" x14ac:dyDescent="0.35">
      <c r="A25" s="9">
        <v>44112</v>
      </c>
      <c r="B25" s="10">
        <f>VLOOKUP(tbl_position[[#This Row],[Date]], tbl_AAPL[], 5, 0)</f>
        <v>114.97</v>
      </c>
      <c r="C25" s="127">
        <f>VLOOKUP(tbl_position[[#This Row],[Date]], tbl_RIOT[], 5, 0)</f>
        <v>2.93</v>
      </c>
      <c r="D25" s="10">
        <f>VLOOKUP(tbl_position[[#This Row],[Date]], tbl_HD[], 5, 0)</f>
        <v>284.52</v>
      </c>
      <c r="E25" s="127">
        <f>VLOOKUP(tbl_position[[#This Row],[Date]], tbl_WMT[], 5, 0)</f>
        <v>141.36000000000001</v>
      </c>
      <c r="F25" s="127">
        <f>VLOOKUP(tbl_position[[#This Row],[Date]], tbl_IBM[], 5, 0)</f>
        <v>131.49</v>
      </c>
      <c r="G25" s="127">
        <f>VLOOKUP(tbl_position[[#This Row],[Date]], tbl_ORCL[], 5, 0)</f>
        <v>60.89</v>
      </c>
      <c r="H25" s="130">
        <f>VLOOKUP(tbl_position[[#This Row],[Date]], tbl_AKRO[], 5, 0)</f>
        <v>29.17</v>
      </c>
      <c r="I25" s="130">
        <f>VLOOKUP(tbl_position[[#This Row],[Date]], tbl_FDX[], 5, 0)</f>
        <v>271.06</v>
      </c>
      <c r="J25" s="130">
        <f>VLOOKUP(tbl_position[[#This Row],[Date]], tbl_NKLA[], 5, 0)</f>
        <v>25</v>
      </c>
      <c r="K25" s="130">
        <f>VLOOKUP(tbl_position[[#This Row],[Date]], tbl_SPXS[], 5, 0)</f>
        <v>5.29</v>
      </c>
      <c r="L25" s="127">
        <f>VLOOKUP(tbl_position[[#This Row],[Date]], tbl_AMD[], 5, 0)</f>
        <v>86.510002</v>
      </c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$X24)</f>
        <v>50</v>
      </c>
      <c r="Y2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$Y24)</f>
        <v>0</v>
      </c>
      <c r="Z2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$Z24)</f>
        <v>50</v>
      </c>
      <c r="AA2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$AA24)</f>
        <v>0</v>
      </c>
      <c r="AB2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$AB24)</f>
        <v>100</v>
      </c>
      <c r="AC2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$AC24)</f>
        <v>0</v>
      </c>
      <c r="AD2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$AD24)</f>
        <v>100</v>
      </c>
      <c r="AE2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$AE24)</f>
        <v>50</v>
      </c>
      <c r="AF2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$AF24)</f>
        <v>300</v>
      </c>
      <c r="AG2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$AG24)</f>
        <v>0</v>
      </c>
      <c r="AH2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$AH24)</f>
        <v>150</v>
      </c>
      <c r="AI2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$AI24)</f>
        <v>0</v>
      </c>
      <c r="AJ2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$AJ24)</f>
        <v>0</v>
      </c>
      <c r="AK2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$AK24)</f>
        <v>0</v>
      </c>
      <c r="AL2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$AL24)</f>
        <v>0</v>
      </c>
      <c r="AM2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$AM24)</f>
        <v>0</v>
      </c>
      <c r="AN2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$AN24)</f>
        <v>0</v>
      </c>
      <c r="AO2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$AO24)</f>
        <v>0</v>
      </c>
      <c r="AP2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$AP24)</f>
        <v>0</v>
      </c>
      <c r="AQ2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$AQ24)</f>
        <v>0</v>
      </c>
      <c r="AR2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$AR24)</f>
        <v>0</v>
      </c>
      <c r="AS2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$AS24)</f>
        <v>0</v>
      </c>
      <c r="AT25" s="10">
        <f ca="1" xml:space="preserve"> SUMPRODUCT(INDIRECT(ADDRESS(ROW(AT25), 2)):INDIRECT(ADDRESS(ROW(AT25), MATCH("Shares_AAPL", pos_header,0)-1)), INDIRECT(ADDRESS(ROW(AT25), MATCH("Shares_AAPL", pos_header,0))): INDIRECT(ADDRESS(ROW(AT25), MATCH("Shares_Holding", pos_header,0)-1)))</f>
        <v>70070.0003</v>
      </c>
      <c r="AU25" s="130">
        <v>33339.18</v>
      </c>
      <c r="AV25" s="11">
        <f>SUMIFS(tbl_transaction[Net_Debt_Change], tbl_transaction[Transaction_Date],tbl_position[[#This Row],[Date]])+IF(tbl_position[[#This Row],[Date]]=$A$5, 0, $AV24)</f>
        <v>2852.8999999999996</v>
      </c>
      <c r="AW25" s="48">
        <f ca="1">tbl_position[[#This Row],[Shares_Holding]]+tbl_position[[#This Row],[Cash_Holding]]-tbl_position[[#This Row],[Liabilities_Holding]]</f>
        <v>100556.28030000001</v>
      </c>
      <c r="AX25" s="48">
        <v>94269.65</v>
      </c>
    </row>
    <row r="26" spans="1:50" x14ac:dyDescent="0.35">
      <c r="A26" s="9">
        <v>44113</v>
      </c>
      <c r="B26" s="10">
        <f>VLOOKUP(tbl_position[[#This Row],[Date]], tbl_AAPL[], 5, 0)</f>
        <v>116.97</v>
      </c>
      <c r="C26" s="127">
        <f>VLOOKUP(tbl_position[[#This Row],[Date]], tbl_RIOT[], 5, 0)</f>
        <v>3.0950000000000002</v>
      </c>
      <c r="D26" s="10">
        <f>VLOOKUP(tbl_position[[#This Row],[Date]], tbl_HD[], 5, 0)</f>
        <v>285.92</v>
      </c>
      <c r="E26" s="127">
        <f>VLOOKUP(tbl_position[[#This Row],[Date]], tbl_WMT[], 5, 0)</f>
        <v>142.78</v>
      </c>
      <c r="F26" s="127">
        <f>VLOOKUP(tbl_position[[#This Row],[Date]], tbl_IBM[], 5, 0)</f>
        <v>127.79</v>
      </c>
      <c r="G26" s="127">
        <f>VLOOKUP(tbl_position[[#This Row],[Date]], tbl_ORCL[], 5, 0)</f>
        <v>61.15</v>
      </c>
      <c r="H26" s="130">
        <f>VLOOKUP(tbl_position[[#This Row],[Date]], tbl_AKRO[], 5, 0)</f>
        <v>28.81</v>
      </c>
      <c r="I26" s="130">
        <f>VLOOKUP(tbl_position[[#This Row],[Date]], tbl_FDX[], 5, 0)</f>
        <v>271.55</v>
      </c>
      <c r="J26" s="130">
        <f>VLOOKUP(tbl_position[[#This Row],[Date]], tbl_NKLA[], 5, 0)</f>
        <v>24.66</v>
      </c>
      <c r="K26" s="130">
        <f>VLOOKUP(tbl_position[[#This Row],[Date]], tbl_SPXS[], 5, 0)</f>
        <v>5.15</v>
      </c>
      <c r="L26" s="127">
        <f>VLOOKUP(tbl_position[[#This Row],[Date]], tbl_AMD[], 5, 0)</f>
        <v>83.099997999999999</v>
      </c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$X25)</f>
        <v>50</v>
      </c>
      <c r="Y2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$Y25)</f>
        <v>0</v>
      </c>
      <c r="Z2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$Z25)</f>
        <v>50</v>
      </c>
      <c r="AA2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$AA25)</f>
        <v>0</v>
      </c>
      <c r="AB2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$AB25)</f>
        <v>100</v>
      </c>
      <c r="AC2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$AC25)</f>
        <v>0</v>
      </c>
      <c r="AD2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$AD25)</f>
        <v>100</v>
      </c>
      <c r="AE2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$AE25)</f>
        <v>50</v>
      </c>
      <c r="AF2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$AF25)</f>
        <v>0</v>
      </c>
      <c r="AG2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$AG25)</f>
        <v>0</v>
      </c>
      <c r="AH2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$AH25)</f>
        <v>150</v>
      </c>
      <c r="AI2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$AI25)</f>
        <v>0</v>
      </c>
      <c r="AJ2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$AJ25)</f>
        <v>0</v>
      </c>
      <c r="AK2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$AK25)</f>
        <v>0</v>
      </c>
      <c r="AL2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$AL25)</f>
        <v>0</v>
      </c>
      <c r="AM2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$AM25)</f>
        <v>0</v>
      </c>
      <c r="AN2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$AN25)</f>
        <v>0</v>
      </c>
      <c r="AO2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$AO25)</f>
        <v>0</v>
      </c>
      <c r="AP2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$AP25)</f>
        <v>0</v>
      </c>
      <c r="AQ2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$AQ25)</f>
        <v>0</v>
      </c>
      <c r="AR2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$AR25)</f>
        <v>0</v>
      </c>
      <c r="AS2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$AS25)</f>
        <v>0</v>
      </c>
      <c r="AT26" s="10">
        <f ca="1" xml:space="preserve"> SUMPRODUCT(INDIRECT(ADDRESS(ROW(AT26), 2)):INDIRECT(ADDRESS(ROW(AT26), MATCH("Shares_AAPL", pos_header,0)-1)), INDIRECT(ADDRESS(ROW(AT26), MATCH("Shares_AAPL", pos_header,0))): INDIRECT(ADDRESS(ROW(AT26), MATCH("Shares_Holding", pos_header,0)-1)))</f>
        <v>61846.9997</v>
      </c>
      <c r="AU26" s="130">
        <v>31784.13</v>
      </c>
      <c r="AV26" s="11">
        <f>SUMIFS(tbl_transaction[Net_Debt_Change], tbl_transaction[Transaction_Date],tbl_position[[#This Row],[Date]])+IF(tbl_position[[#This Row],[Date]]=$A$5, 0, $AV25)</f>
        <v>-4542.1000000000004</v>
      </c>
      <c r="AW26" s="48">
        <f ca="1">tbl_position[[#This Row],[Shares_Holding]]+tbl_position[[#This Row],[Cash_Holding]]-tbl_position[[#This Row],[Liabilities_Holding]]</f>
        <v>98173.229700000011</v>
      </c>
      <c r="AX26" s="48">
        <v>93629.63</v>
      </c>
    </row>
    <row r="27" spans="1:50" x14ac:dyDescent="0.35">
      <c r="A27" s="9">
        <v>44116</v>
      </c>
      <c r="B27" s="10">
        <f>VLOOKUP(tbl_position[[#This Row],[Date]], tbl_AAPL[], 5, 0)</f>
        <v>124.4</v>
      </c>
      <c r="C27" s="127">
        <f>VLOOKUP(tbl_position[[#This Row],[Date]], tbl_RIOT[], 5, 0)</f>
        <v>3.5</v>
      </c>
      <c r="D27" s="10">
        <f>VLOOKUP(tbl_position[[#This Row],[Date]], tbl_HD[], 5, 0)</f>
        <v>286.91000000000003</v>
      </c>
      <c r="E27" s="127">
        <f>VLOOKUP(tbl_position[[#This Row],[Date]], tbl_WMT[], 5, 0)</f>
        <v>144.25</v>
      </c>
      <c r="F27" s="127">
        <f>VLOOKUP(tbl_position[[#This Row],[Date]], tbl_IBM[], 5, 0)</f>
        <v>127.21</v>
      </c>
      <c r="G27" s="127">
        <f>VLOOKUP(tbl_position[[#This Row],[Date]], tbl_ORCL[], 5, 0)</f>
        <v>61.46</v>
      </c>
      <c r="H27" s="130">
        <f>VLOOKUP(tbl_position[[#This Row],[Date]], tbl_AKRO[], 5, 0)</f>
        <v>28.93</v>
      </c>
      <c r="I27" s="130">
        <f>VLOOKUP(tbl_position[[#This Row],[Date]], tbl_FDX[], 5, 0)</f>
        <v>273.5</v>
      </c>
      <c r="J27" s="130">
        <f>VLOOKUP(tbl_position[[#This Row],[Date]], tbl_NKLA[], 5, 0)</f>
        <v>24.15</v>
      </c>
      <c r="K27" s="130">
        <f>VLOOKUP(tbl_position[[#This Row],[Date]], tbl_SPXS[], 5, 0)</f>
        <v>4.9000000000000004</v>
      </c>
      <c r="L27" s="127">
        <f>VLOOKUP(tbl_position[[#This Row],[Date]], tbl_AMD[], 5, 0)</f>
        <v>84.290001000000004</v>
      </c>
      <c r="M27" s="127">
        <f>VLOOKUP(tbl_position[[#This Row],[Date]], tbl_CVX[], 5, 0)</f>
        <v>74.510002</v>
      </c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$X26)</f>
        <v>0</v>
      </c>
      <c r="Y2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$Y26)</f>
        <v>0</v>
      </c>
      <c r="Z2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$Z26)</f>
        <v>50</v>
      </c>
      <c r="AA2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$AA26)</f>
        <v>0</v>
      </c>
      <c r="AB2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$AB26)</f>
        <v>100</v>
      </c>
      <c r="AC2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$AC26)</f>
        <v>0</v>
      </c>
      <c r="AD2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$AD26)</f>
        <v>100</v>
      </c>
      <c r="AE2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$AE26)</f>
        <v>50</v>
      </c>
      <c r="AF2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$AF26)</f>
        <v>0</v>
      </c>
      <c r="AG2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$AG26)</f>
        <v>0</v>
      </c>
      <c r="AH2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$AH26)</f>
        <v>150</v>
      </c>
      <c r="AI2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$AI26)</f>
        <v>101</v>
      </c>
      <c r="AJ2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$AJ26)</f>
        <v>0</v>
      </c>
      <c r="AK2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$AK26)</f>
        <v>0</v>
      </c>
      <c r="AL2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$AL26)</f>
        <v>0</v>
      </c>
      <c r="AM2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$AM26)</f>
        <v>0</v>
      </c>
      <c r="AN2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$AN26)</f>
        <v>0</v>
      </c>
      <c r="AO2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$AO26)</f>
        <v>0</v>
      </c>
      <c r="AP2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$AP26)</f>
        <v>0</v>
      </c>
      <c r="AQ2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$AQ26)</f>
        <v>0</v>
      </c>
      <c r="AR2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$AR26)</f>
        <v>0</v>
      </c>
      <c r="AS2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$AS26)</f>
        <v>0</v>
      </c>
      <c r="AT27" s="10">
        <f ca="1" xml:space="preserve"> SUMPRODUCT(INDIRECT(ADDRESS(ROW(AT27), 2)):INDIRECT(ADDRESS(ROW(AT27), MATCH("Shares_AAPL", pos_header,0)-1)), INDIRECT(ADDRESS(ROW(AT27), MATCH("Shares_AAPL", pos_header,0))): INDIRECT(ADDRESS(ROW(AT27), MATCH("Shares_Holding", pos_header,0)-1)))</f>
        <v>63803.510351999998</v>
      </c>
      <c r="AU27" s="130">
        <v>30418.26</v>
      </c>
      <c r="AV27" s="11">
        <f>SUMIFS(tbl_transaction[Net_Debt_Change], tbl_transaction[Transaction_Date],tbl_position[[#This Row],[Date]])+IF(tbl_position[[#This Row],[Date]]=$A$5, 0, $AV26)</f>
        <v>-4542.1000000000004</v>
      </c>
      <c r="AW27" s="48">
        <f ca="1">tbl_position[[#This Row],[Shares_Holding]]+tbl_position[[#This Row],[Cash_Holding]]-tbl_position[[#This Row],[Liabilities_Holding]]</f>
        <v>98763.870351999998</v>
      </c>
      <c r="AX27" s="48">
        <v>94225.27</v>
      </c>
    </row>
    <row r="28" spans="1:50" x14ac:dyDescent="0.35">
      <c r="A28" s="9">
        <v>44117</v>
      </c>
      <c r="B28" s="10">
        <f>VLOOKUP(tbl_position[[#This Row],[Date]], tbl_AAPL[], 5, 0)</f>
        <v>121.1</v>
      </c>
      <c r="C28" s="127">
        <f>VLOOKUP(tbl_position[[#This Row],[Date]], tbl_RIOT[], 5, 0)</f>
        <v>3.37</v>
      </c>
      <c r="D28" s="10">
        <f>VLOOKUP(tbl_position[[#This Row],[Date]], tbl_HD[], 5, 0)</f>
        <v>290.36</v>
      </c>
      <c r="E28" s="127">
        <f>VLOOKUP(tbl_position[[#This Row],[Date]], tbl_WMT[], 5, 0)</f>
        <v>146.22999999999999</v>
      </c>
      <c r="F28" s="127">
        <f>VLOOKUP(tbl_position[[#This Row],[Date]], tbl_IBM[], 5, 0)</f>
        <v>125.1</v>
      </c>
      <c r="G28" s="127">
        <f>VLOOKUP(tbl_position[[#This Row],[Date]], tbl_ORCL[], 5, 0)</f>
        <v>60.97</v>
      </c>
      <c r="H28" s="130">
        <f>VLOOKUP(tbl_position[[#This Row],[Date]], tbl_AKRO[], 5, 0)</f>
        <v>29.44</v>
      </c>
      <c r="I28" s="130">
        <f>VLOOKUP(tbl_position[[#This Row],[Date]], tbl_FDX[], 5, 0)</f>
        <v>272.24</v>
      </c>
      <c r="J28" s="130">
        <f>VLOOKUP(tbl_position[[#This Row],[Date]], tbl_NKLA[], 5, 0)</f>
        <v>24.23</v>
      </c>
      <c r="K28" s="130">
        <f>VLOOKUP(tbl_position[[#This Row],[Date]], tbl_SPXS[], 5, 0)</f>
        <v>5.01</v>
      </c>
      <c r="L28" s="127">
        <f>VLOOKUP(tbl_position[[#This Row],[Date]], tbl_AMD[], 5, 0)</f>
        <v>85.279999000000004</v>
      </c>
      <c r="M28" s="127">
        <f>VLOOKUP(tbl_position[[#This Row],[Date]], tbl_CVX[], 5, 0)</f>
        <v>73.400002000000001</v>
      </c>
      <c r="N28" s="127">
        <f>VLOOKUP(tbl_position[[#This Row],[Date]], tbl_QCOM[], 5, 0)</f>
        <v>127.459999</v>
      </c>
      <c r="O28" s="127">
        <f>VLOOKUP(tbl_position[[#This Row],[Date]], tbl_F[], 5, 0)</f>
        <v>7.76</v>
      </c>
      <c r="P28" s="127"/>
      <c r="Q28" s="127"/>
      <c r="R28" s="127"/>
      <c r="S28" s="127"/>
      <c r="T28" s="127"/>
      <c r="U28" s="127"/>
      <c r="V28" s="127"/>
      <c r="W28" s="127"/>
      <c r="X2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$X27)</f>
        <v>0</v>
      </c>
      <c r="Y2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$Y27)</f>
        <v>0</v>
      </c>
      <c r="Z2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$Z27)</f>
        <v>50</v>
      </c>
      <c r="AA2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$AA27)</f>
        <v>0</v>
      </c>
      <c r="AB2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$AB27)</f>
        <v>100</v>
      </c>
      <c r="AC2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$AC27)</f>
        <v>0</v>
      </c>
      <c r="AD2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$AD27)</f>
        <v>100</v>
      </c>
      <c r="AE2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$AE27)</f>
        <v>50</v>
      </c>
      <c r="AF2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$AF27)</f>
        <v>0</v>
      </c>
      <c r="AG2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$AG27)</f>
        <v>0</v>
      </c>
      <c r="AH2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$AH27)</f>
        <v>150</v>
      </c>
      <c r="AI2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$AI27)</f>
        <v>101</v>
      </c>
      <c r="AJ2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$AJ27)</f>
        <v>50</v>
      </c>
      <c r="AK2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$AK27)</f>
        <v>600</v>
      </c>
      <c r="AL2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$AL27)</f>
        <v>0</v>
      </c>
      <c r="AM2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$AM27)</f>
        <v>0</v>
      </c>
      <c r="AN2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$AN27)</f>
        <v>0</v>
      </c>
      <c r="AO2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$AO27)</f>
        <v>0</v>
      </c>
      <c r="AP2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$AP27)</f>
        <v>0</v>
      </c>
      <c r="AQ2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$AQ27)</f>
        <v>0</v>
      </c>
      <c r="AR2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$AR27)</f>
        <v>0</v>
      </c>
      <c r="AS2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$AS27)</f>
        <v>0</v>
      </c>
      <c r="AT28" s="10">
        <f ca="1" xml:space="preserve"> SUMPRODUCT(INDIRECT(ADDRESS(ROW(AT28), 2)):INDIRECT(ADDRESS(ROW(AT28), MATCH("Shares_AAPL", pos_header,0)-1)), INDIRECT(ADDRESS(ROW(AT28), MATCH("Shares_AAPL", pos_header,0))): INDIRECT(ADDRESS(ROW(AT28), MATCH("Shares_Holding", pos_header,0)-1)))</f>
        <v>74818.400001999995</v>
      </c>
      <c r="AU28" s="130">
        <v>19414.259999999998</v>
      </c>
      <c r="AV28" s="11">
        <f>SUMIFS(tbl_transaction[Net_Debt_Change], tbl_transaction[Transaction_Date],tbl_position[[#This Row],[Date]])+IF(tbl_position[[#This Row],[Date]]=$A$5, 0, $AV27)</f>
        <v>-4542.1000000000004</v>
      </c>
      <c r="AW28" s="48">
        <f ca="1">tbl_position[[#This Row],[Shares_Holding]]+tbl_position[[#This Row],[Cash_Holding]]-tbl_position[[#This Row],[Liabilities_Holding]]</f>
        <v>98774.760001999995</v>
      </c>
      <c r="AX28" s="48">
        <v>94266.68</v>
      </c>
    </row>
    <row r="29" spans="1:50" x14ac:dyDescent="0.35">
      <c r="A29" s="9">
        <v>44118</v>
      </c>
      <c r="B29" s="10">
        <f>VLOOKUP(tbl_position[[#This Row],[Date]], tbl_AAPL[], 5, 0)</f>
        <v>121.19</v>
      </c>
      <c r="C29" s="127">
        <f>VLOOKUP(tbl_position[[#This Row],[Date]], tbl_RIOT[], 5, 0)</f>
        <v>3.28</v>
      </c>
      <c r="D29" s="10">
        <f>VLOOKUP(tbl_position[[#This Row],[Date]], tbl_HD[], 5, 0)</f>
        <v>287.08999999999997</v>
      </c>
      <c r="E29" s="127">
        <f>VLOOKUP(tbl_position[[#This Row],[Date]], tbl_WMT[], 5, 0)</f>
        <v>143.94</v>
      </c>
      <c r="F29" s="127">
        <f>VLOOKUP(tbl_position[[#This Row],[Date]], tbl_IBM[], 5, 0)</f>
        <v>125.94</v>
      </c>
      <c r="G29" s="127">
        <f>VLOOKUP(tbl_position[[#This Row],[Date]], tbl_ORCL[], 5, 0)</f>
        <v>60.96</v>
      </c>
      <c r="H29" s="130">
        <f>VLOOKUP(tbl_position[[#This Row],[Date]], tbl_AKRO[], 5, 0)</f>
        <v>28.56</v>
      </c>
      <c r="I29" s="130">
        <f>VLOOKUP(tbl_position[[#This Row],[Date]], tbl_FDX[], 5, 0)</f>
        <v>276.24</v>
      </c>
      <c r="J29" s="130">
        <f>VLOOKUP(tbl_position[[#This Row],[Date]], tbl_NKLA[], 5, 0)</f>
        <v>24.11</v>
      </c>
      <c r="K29" s="130">
        <f>VLOOKUP(tbl_position[[#This Row],[Date]], tbl_SPXS[], 5, 0)</f>
        <v>5.09</v>
      </c>
      <c r="L29" s="127">
        <f>VLOOKUP(tbl_position[[#This Row],[Date]], tbl_AMD[], 5, 0)</f>
        <v>84.209998999999996</v>
      </c>
      <c r="M29" s="127">
        <f>VLOOKUP(tbl_position[[#This Row],[Date]], tbl_CVX[], 5, 0)</f>
        <v>72.949996999999996</v>
      </c>
      <c r="N29" s="127">
        <f>VLOOKUP(tbl_position[[#This Row],[Date]], tbl_QCOM[], 5, 0)</f>
        <v>129.88000500000001</v>
      </c>
      <c r="O29" s="127">
        <f>VLOOKUP(tbl_position[[#This Row],[Date]], tbl_F[], 5, 0)</f>
        <v>7.57</v>
      </c>
      <c r="P29" s="127"/>
      <c r="Q29" s="127"/>
      <c r="R29" s="127"/>
      <c r="S29" s="127"/>
      <c r="T29" s="127"/>
      <c r="U29" s="127"/>
      <c r="V29" s="127"/>
      <c r="W29" s="127"/>
      <c r="X2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$X28)</f>
        <v>0</v>
      </c>
      <c r="Y2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$Y28)</f>
        <v>0</v>
      </c>
      <c r="Z2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$Z28)</f>
        <v>50</v>
      </c>
      <c r="AA2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$AA28)</f>
        <v>0</v>
      </c>
      <c r="AB2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$AB28)</f>
        <v>100</v>
      </c>
      <c r="AC2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$AC28)</f>
        <v>0</v>
      </c>
      <c r="AD2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$AD28)</f>
        <v>100</v>
      </c>
      <c r="AE2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$AE28)</f>
        <v>50</v>
      </c>
      <c r="AF2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$AF28)</f>
        <v>0</v>
      </c>
      <c r="AG2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$AG28)</f>
        <v>0</v>
      </c>
      <c r="AH2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$AH28)</f>
        <v>150</v>
      </c>
      <c r="AI2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$AI28)</f>
        <v>101</v>
      </c>
      <c r="AJ2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$AJ28)</f>
        <v>50</v>
      </c>
      <c r="AK2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$AK28)</f>
        <v>600</v>
      </c>
      <c r="AL2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$AL28)</f>
        <v>0</v>
      </c>
      <c r="AM2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$AM28)</f>
        <v>0</v>
      </c>
      <c r="AN2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$AN28)</f>
        <v>0</v>
      </c>
      <c r="AO2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$AO28)</f>
        <v>0</v>
      </c>
      <c r="AP2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$AP28)</f>
        <v>0</v>
      </c>
      <c r="AQ2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$AQ28)</f>
        <v>0</v>
      </c>
      <c r="AR2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$AR28)</f>
        <v>0</v>
      </c>
      <c r="AS2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$AS28)</f>
        <v>0</v>
      </c>
      <c r="AT29" s="10">
        <f ca="1" xml:space="preserve"> SUMPRODUCT(INDIRECT(ADDRESS(ROW(AT29), 2)):INDIRECT(ADDRESS(ROW(AT29), MATCH("Shares_AAPL", pos_header,0)-1)), INDIRECT(ADDRESS(ROW(AT29), MATCH("Shares_AAPL", pos_header,0))): INDIRECT(ADDRESS(ROW(AT29), MATCH("Shares_Holding", pos_header,0)-1)))</f>
        <v>74651.949796999994</v>
      </c>
      <c r="AU29" s="130">
        <v>19414.259999999998</v>
      </c>
      <c r="AV29" s="11">
        <f>SUMIFS(tbl_transaction[Net_Debt_Change], tbl_transaction[Transaction_Date],tbl_position[[#This Row],[Date]])+IF(tbl_position[[#This Row],[Date]]=$A$5, 0, $AV28)</f>
        <v>-4542.1000000000004</v>
      </c>
      <c r="AW29" s="48">
        <f ca="1">tbl_position[[#This Row],[Shares_Holding]]+tbl_position[[#This Row],[Cash_Holding]]-tbl_position[[#This Row],[Liabilities_Holding]]</f>
        <v>98608.309796999994</v>
      </c>
      <c r="AX29" s="48">
        <v>94059.7</v>
      </c>
    </row>
    <row r="30" spans="1:50" x14ac:dyDescent="0.35">
      <c r="A30" s="9">
        <v>44119</v>
      </c>
      <c r="B30" s="10">
        <f>VLOOKUP(tbl_position[[#This Row],[Date]], tbl_AAPL[], 5, 0)</f>
        <v>120.71</v>
      </c>
      <c r="C30" s="127">
        <f>VLOOKUP(tbl_position[[#This Row],[Date]], tbl_RIOT[], 5, 0)</f>
        <v>3.4</v>
      </c>
      <c r="D30" s="10">
        <f>VLOOKUP(tbl_position[[#This Row],[Date]], tbl_HD[], 5, 0)</f>
        <v>287.54000000000002</v>
      </c>
      <c r="E30" s="127">
        <f>VLOOKUP(tbl_position[[#This Row],[Date]], tbl_WMT[], 5, 0)</f>
        <v>144.53</v>
      </c>
      <c r="F30" s="127">
        <f>VLOOKUP(tbl_position[[#This Row],[Date]], tbl_IBM[], 5, 0)</f>
        <v>124.89</v>
      </c>
      <c r="G30" s="127">
        <f>VLOOKUP(tbl_position[[#This Row],[Date]], tbl_ORCL[], 5, 0)</f>
        <v>60.52</v>
      </c>
      <c r="H30" s="130">
        <f>VLOOKUP(tbl_position[[#This Row],[Date]], tbl_AKRO[], 5, 0)</f>
        <v>27.85</v>
      </c>
      <c r="I30" s="130">
        <f>VLOOKUP(tbl_position[[#This Row],[Date]], tbl_FDX[], 5, 0)</f>
        <v>282.11</v>
      </c>
      <c r="J30" s="130">
        <f>VLOOKUP(tbl_position[[#This Row],[Date]], tbl_NKLA[], 5, 0)</f>
        <v>23.3</v>
      </c>
      <c r="K30" s="130">
        <f>VLOOKUP(tbl_position[[#This Row],[Date]], tbl_SPXS[], 5, 0)</f>
        <v>5.12</v>
      </c>
      <c r="L30" s="127">
        <f>VLOOKUP(tbl_position[[#This Row],[Date]], tbl_AMD[], 5, 0)</f>
        <v>83.129997000000003</v>
      </c>
      <c r="M30" s="127">
        <f>VLOOKUP(tbl_position[[#This Row],[Date]], tbl_CVX[], 5, 0)</f>
        <v>73.510002</v>
      </c>
      <c r="N30" s="127">
        <f>VLOOKUP(tbl_position[[#This Row],[Date]], tbl_QCOM[], 5, 0)</f>
        <v>128.58000200000001</v>
      </c>
      <c r="O30" s="127">
        <f>VLOOKUP(tbl_position[[#This Row],[Date]], tbl_F[], 5, 0)</f>
        <v>7.62</v>
      </c>
      <c r="P30" s="127"/>
      <c r="Q30" s="127"/>
      <c r="R30" s="127"/>
      <c r="S30" s="127"/>
      <c r="T30" s="127"/>
      <c r="U30" s="127"/>
      <c r="V30" s="127"/>
      <c r="W30" s="127"/>
      <c r="X3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$X29)</f>
        <v>0</v>
      </c>
      <c r="Y3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$Y29)</f>
        <v>0</v>
      </c>
      <c r="Z3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$Z29)</f>
        <v>50</v>
      </c>
      <c r="AA3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$AA29)</f>
        <v>0</v>
      </c>
      <c r="AB3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$AB29)</f>
        <v>100</v>
      </c>
      <c r="AC3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$AC29)</f>
        <v>0</v>
      </c>
      <c r="AD3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$AD29)</f>
        <v>100</v>
      </c>
      <c r="AE3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$AE29)</f>
        <v>50</v>
      </c>
      <c r="AF3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$AF29)</f>
        <v>0</v>
      </c>
      <c r="AG3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$AG29)</f>
        <v>0</v>
      </c>
      <c r="AH3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$AH29)</f>
        <v>150</v>
      </c>
      <c r="AI3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$AI29)</f>
        <v>101</v>
      </c>
      <c r="AJ3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$AJ29)</f>
        <v>50</v>
      </c>
      <c r="AK3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$AK29)</f>
        <v>600</v>
      </c>
      <c r="AL3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$AL29)</f>
        <v>0</v>
      </c>
      <c r="AM3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$AM29)</f>
        <v>0</v>
      </c>
      <c r="AN3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$AN29)</f>
        <v>0</v>
      </c>
      <c r="AO3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$AO29)</f>
        <v>0</v>
      </c>
      <c r="AP3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$AP29)</f>
        <v>0</v>
      </c>
      <c r="AQ3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$AQ29)</f>
        <v>0</v>
      </c>
      <c r="AR3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$AR29)</f>
        <v>0</v>
      </c>
      <c r="AS3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$AS29)</f>
        <v>0</v>
      </c>
      <c r="AT30" s="10">
        <f ca="1" xml:space="preserve"> SUMPRODUCT(INDIRECT(ADDRESS(ROW(AT30), 2)):INDIRECT(ADDRESS(ROW(AT30), MATCH("Shares_AAPL", pos_header,0)-1)), INDIRECT(ADDRESS(ROW(AT30), MATCH("Shares_AAPL", pos_header,0))): INDIRECT(ADDRESS(ROW(AT30), MATCH("Shares_Holding", pos_header,0)-1)))</f>
        <v>74651.509852000003</v>
      </c>
      <c r="AU30" s="130">
        <v>19414.259999999998</v>
      </c>
      <c r="AV30" s="11">
        <f>SUMIFS(tbl_transaction[Net_Debt_Change], tbl_transaction[Transaction_Date],tbl_position[[#This Row],[Date]])+IF(tbl_position[[#This Row],[Date]]=$A$5, 0, $AV29)</f>
        <v>-4542.1000000000004</v>
      </c>
      <c r="AW30" s="48">
        <f ca="1">tbl_position[[#This Row],[Shares_Holding]]+tbl_position[[#This Row],[Cash_Holding]]-tbl_position[[#This Row],[Liabilities_Holding]]</f>
        <v>98607.869852000003</v>
      </c>
      <c r="AX30" s="48">
        <v>94065.59</v>
      </c>
    </row>
    <row r="31" spans="1:50" x14ac:dyDescent="0.35">
      <c r="A31" s="9">
        <v>44120</v>
      </c>
      <c r="B31" s="10">
        <f>VLOOKUP(tbl_position[[#This Row],[Date]], tbl_AAPL[], 5, 0)</f>
        <v>119.02</v>
      </c>
      <c r="C31" s="127">
        <f>VLOOKUP(tbl_position[[#This Row],[Date]], tbl_RIOT[], 5, 0)</f>
        <v>3.11</v>
      </c>
      <c r="D31" s="10">
        <f>VLOOKUP(tbl_position[[#This Row],[Date]], tbl_HD[], 5, 0)</f>
        <v>287.66000000000003</v>
      </c>
      <c r="E31" s="127">
        <f>VLOOKUP(tbl_position[[#This Row],[Date]], tbl_WMT[], 5, 0)</f>
        <v>144.71</v>
      </c>
      <c r="F31" s="127">
        <f>VLOOKUP(tbl_position[[#This Row],[Date]], tbl_IBM[], 5, 0)</f>
        <v>125.93</v>
      </c>
      <c r="G31" s="127">
        <f>VLOOKUP(tbl_position[[#This Row],[Date]], tbl_ORCL[], 5, 0)</f>
        <v>60.29</v>
      </c>
      <c r="H31" s="130">
        <f>VLOOKUP(tbl_position[[#This Row],[Date]], tbl_AKRO[], 5, 0)</f>
        <v>28.35</v>
      </c>
      <c r="I31" s="130">
        <f>VLOOKUP(tbl_position[[#This Row],[Date]], tbl_FDX[], 5, 0)</f>
        <v>283.87</v>
      </c>
      <c r="J31" s="130">
        <f>VLOOKUP(tbl_position[[#This Row],[Date]], tbl_NKLA[], 5, 0)</f>
        <v>19.55</v>
      </c>
      <c r="K31" s="130">
        <f>VLOOKUP(tbl_position[[#This Row],[Date]], tbl_SPXS[], 5, 0)</f>
        <v>5.13</v>
      </c>
      <c r="L31" s="127">
        <f>VLOOKUP(tbl_position[[#This Row],[Date]], tbl_AMD[], 5, 0)</f>
        <v>83.169998000000007</v>
      </c>
      <c r="M31" s="127">
        <f>VLOOKUP(tbl_position[[#This Row],[Date]], tbl_CVX[], 5, 0)</f>
        <v>72.889999000000003</v>
      </c>
      <c r="N31" s="127">
        <f>VLOOKUP(tbl_position[[#This Row],[Date]], tbl_QCOM[], 5, 0)</f>
        <v>129.029999</v>
      </c>
      <c r="O31" s="127">
        <f>VLOOKUP(tbl_position[[#This Row],[Date]], tbl_F[], 5, 0)</f>
        <v>7.67</v>
      </c>
      <c r="P31" s="127"/>
      <c r="Q31" s="127"/>
      <c r="R31" s="127"/>
      <c r="S31" s="127"/>
      <c r="T31" s="127"/>
      <c r="U31" s="127"/>
      <c r="V31" s="127"/>
      <c r="W31" s="127"/>
      <c r="X3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$X30)</f>
        <v>0</v>
      </c>
      <c r="Y3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$Y30)</f>
        <v>0</v>
      </c>
      <c r="Z3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$Z30)</f>
        <v>50</v>
      </c>
      <c r="AA3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$AA30)</f>
        <v>0</v>
      </c>
      <c r="AB3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$AB30)</f>
        <v>100</v>
      </c>
      <c r="AC3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$AC30)</f>
        <v>0</v>
      </c>
      <c r="AD3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$AD30)</f>
        <v>100</v>
      </c>
      <c r="AE3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$AE30)</f>
        <v>50</v>
      </c>
      <c r="AF3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$AF30)</f>
        <v>0</v>
      </c>
      <c r="AG3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$AG30)</f>
        <v>0</v>
      </c>
      <c r="AH3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$AH30)</f>
        <v>150</v>
      </c>
      <c r="AI3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$AI30)</f>
        <v>101</v>
      </c>
      <c r="AJ3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$AJ30)</f>
        <v>50</v>
      </c>
      <c r="AK3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$AK30)</f>
        <v>600</v>
      </c>
      <c r="AL3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$AL30)</f>
        <v>0</v>
      </c>
      <c r="AM3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$AM30)</f>
        <v>0</v>
      </c>
      <c r="AN3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$AN30)</f>
        <v>0</v>
      </c>
      <c r="AO3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$AO30)</f>
        <v>0</v>
      </c>
      <c r="AP3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$AP30)</f>
        <v>0</v>
      </c>
      <c r="AQ3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$AQ30)</f>
        <v>0</v>
      </c>
      <c r="AR3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$AR30)</f>
        <v>0</v>
      </c>
      <c r="AS3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$AS30)</f>
        <v>0</v>
      </c>
      <c r="AT31" s="10">
        <f ca="1" xml:space="preserve"> SUMPRODUCT(INDIRECT(ADDRESS(ROW(AT31), 2)):INDIRECT(ADDRESS(ROW(AT31), MATCH("Shares_AAPL", pos_header,0)-1)), INDIRECT(ADDRESS(ROW(AT31), MATCH("Shares_AAPL", pos_header,0))): INDIRECT(ADDRESS(ROW(AT31), MATCH("Shares_Holding", pos_header,0)-1)))</f>
        <v>74895.389549</v>
      </c>
      <c r="AU31" s="130">
        <v>19414.259999999998</v>
      </c>
      <c r="AV31" s="11">
        <f>SUMIFS(tbl_transaction[Net_Debt_Change], tbl_transaction[Transaction_Date],tbl_position[[#This Row],[Date]])+IF(tbl_position[[#This Row],[Date]]=$A$5, 0, $AV30)</f>
        <v>-4542.1000000000004</v>
      </c>
      <c r="AW31" s="48">
        <f ca="1">tbl_position[[#This Row],[Shares_Holding]]+tbl_position[[#This Row],[Cash_Holding]]-tbl_position[[#This Row],[Liabilities_Holding]]</f>
        <v>98851.749549</v>
      </c>
      <c r="AX31" s="48">
        <v>94317.19</v>
      </c>
    </row>
    <row r="32" spans="1:50" x14ac:dyDescent="0.35">
      <c r="A32" s="9">
        <v>44123</v>
      </c>
      <c r="B32" s="10">
        <f>VLOOKUP(tbl_position[[#This Row],[Date]], tbl_AAPL[], 5, 0)</f>
        <v>116.81</v>
      </c>
      <c r="C32" s="127">
        <f>VLOOKUP(tbl_position[[#This Row],[Date]], tbl_RIOT[], 5, 0)</f>
        <v>3.3</v>
      </c>
      <c r="D32" s="10">
        <f>VLOOKUP(tbl_position[[#This Row],[Date]], tbl_HD[], 5, 0)</f>
        <v>284.95999999999998</v>
      </c>
      <c r="E32" s="127">
        <f>VLOOKUP(tbl_position[[#This Row],[Date]], tbl_WMT[], 5, 0)</f>
        <v>143.29</v>
      </c>
      <c r="F32" s="127">
        <f>VLOOKUP(tbl_position[[#This Row],[Date]], tbl_IBM[], 5, 0)</f>
        <v>125.21</v>
      </c>
      <c r="G32" s="127">
        <f>VLOOKUP(tbl_position[[#This Row],[Date]], tbl_ORCL[], 5, 0)</f>
        <v>59.62</v>
      </c>
      <c r="H32" s="130">
        <f>VLOOKUP(tbl_position[[#This Row],[Date]], tbl_AKRO[], 5, 0)</f>
        <v>27.4</v>
      </c>
      <c r="I32" s="130">
        <f>VLOOKUP(tbl_position[[#This Row],[Date]], tbl_FDX[], 5, 0)</f>
        <v>281.97000000000003</v>
      </c>
      <c r="J32" s="130">
        <f>VLOOKUP(tbl_position[[#This Row],[Date]], tbl_NKLA[], 5, 0)</f>
        <v>20.46</v>
      </c>
      <c r="K32" s="130">
        <f>VLOOKUP(tbl_position[[#This Row],[Date]], tbl_SPXS[], 5, 0)</f>
        <v>5.36</v>
      </c>
      <c r="L32" s="127">
        <f>VLOOKUP(tbl_position[[#This Row],[Date]], tbl_AMD[], 5, 0)</f>
        <v>82</v>
      </c>
      <c r="M32" s="127">
        <f>VLOOKUP(tbl_position[[#This Row],[Date]], tbl_CVX[], 5, 0)</f>
        <v>71.279999000000004</v>
      </c>
      <c r="N32" s="127">
        <f>VLOOKUP(tbl_position[[#This Row],[Date]], tbl_QCOM[], 5, 0)</f>
        <v>128.41999799999999</v>
      </c>
      <c r="O32" s="127">
        <f>VLOOKUP(tbl_position[[#This Row],[Date]], tbl_F[], 5, 0)</f>
        <v>7.59</v>
      </c>
      <c r="P32" s="127"/>
      <c r="Q32" s="127"/>
      <c r="R32" s="127"/>
      <c r="S32" s="127"/>
      <c r="T32" s="127"/>
      <c r="U32" s="127"/>
      <c r="V32" s="127"/>
      <c r="W32" s="127"/>
      <c r="X3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$X31)</f>
        <v>0</v>
      </c>
      <c r="Y3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$Y31)</f>
        <v>0</v>
      </c>
      <c r="Z3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$Z31)</f>
        <v>50</v>
      </c>
      <c r="AA3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$AA31)</f>
        <v>0</v>
      </c>
      <c r="AB3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$AB31)</f>
        <v>100</v>
      </c>
      <c r="AC3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$AC31)</f>
        <v>0</v>
      </c>
      <c r="AD3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$AD31)</f>
        <v>0</v>
      </c>
      <c r="AE3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$AE31)</f>
        <v>50</v>
      </c>
      <c r="AF3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$AF31)</f>
        <v>0</v>
      </c>
      <c r="AG3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$AG31)</f>
        <v>0</v>
      </c>
      <c r="AH3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$AH31)</f>
        <v>150</v>
      </c>
      <c r="AI3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$AI31)</f>
        <v>101</v>
      </c>
      <c r="AJ3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$AJ31)</f>
        <v>50</v>
      </c>
      <c r="AK3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$AK31)</f>
        <v>600</v>
      </c>
      <c r="AL3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$AL31)</f>
        <v>0</v>
      </c>
      <c r="AM3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$AM31)</f>
        <v>0</v>
      </c>
      <c r="AN3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$AN31)</f>
        <v>0</v>
      </c>
      <c r="AO3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$AO31)</f>
        <v>0</v>
      </c>
      <c r="AP3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$AP31)</f>
        <v>0</v>
      </c>
      <c r="AQ3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$AQ31)</f>
        <v>0</v>
      </c>
      <c r="AR3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$AR31)</f>
        <v>0</v>
      </c>
      <c r="AS3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$AS31)</f>
        <v>0</v>
      </c>
      <c r="AT32" s="10">
        <f ca="1" xml:space="preserve"> SUMPRODUCT(INDIRECT(ADDRESS(ROW(AT32), 2)):INDIRECT(ADDRESS(ROW(AT32), MATCH("Shares_AAPL", pos_header,0)-1)), INDIRECT(ADDRESS(ROW(AT32), MATCH("Shares_AAPL", pos_header,0))): INDIRECT(ADDRESS(ROW(AT32), MATCH("Shares_Holding", pos_header,0)-1)))</f>
        <v>71341.779798999996</v>
      </c>
      <c r="AU32" s="130">
        <v>19414.259999999998</v>
      </c>
      <c r="AV32" s="11">
        <f>SUMIFS(tbl_transaction[Net_Debt_Change], tbl_transaction[Transaction_Date],tbl_position[[#This Row],[Date]])+IF(tbl_position[[#This Row],[Date]]=$A$5, 0, $AV31)</f>
        <v>-4542.1000000000004</v>
      </c>
      <c r="AW32" s="48">
        <f ca="1">tbl_position[[#This Row],[Shares_Holding]]+tbl_position[[#This Row],[Cash_Holding]]-tbl_position[[#This Row],[Liabilities_Holding]]</f>
        <v>95298.139798999997</v>
      </c>
      <c r="AX32" s="48">
        <v>94683.77</v>
      </c>
    </row>
    <row r="33" spans="1:50" x14ac:dyDescent="0.35">
      <c r="A33" s="9">
        <v>44124</v>
      </c>
      <c r="B33" s="10">
        <f>VLOOKUP(tbl_position[[#This Row],[Date]], tbl_AAPL[], 5, 0)</f>
        <v>117.51</v>
      </c>
      <c r="C33" s="127">
        <f>VLOOKUP(tbl_position[[#This Row],[Date]], tbl_RIOT[], 5, 0)</f>
        <v>3.54</v>
      </c>
      <c r="D33" s="10">
        <f>VLOOKUP(tbl_position[[#This Row],[Date]], tbl_HD[], 5, 0)</f>
        <v>286.04000000000002</v>
      </c>
      <c r="E33" s="127">
        <f>VLOOKUP(tbl_position[[#This Row],[Date]], tbl_WMT[], 5, 0)</f>
        <v>143.9</v>
      </c>
      <c r="F33" s="127">
        <f>VLOOKUP(tbl_position[[#This Row],[Date]], tbl_IBM[], 5, 0)</f>
        <v>117.37</v>
      </c>
      <c r="G33" s="127">
        <f>VLOOKUP(tbl_position[[#This Row],[Date]], tbl_ORCL[], 5, 0)</f>
        <v>59.75</v>
      </c>
      <c r="H33" s="135">
        <f>VLOOKUP(tbl_position[[#This Row],[Date]], tbl_AKRO[], 5, 0)</f>
        <v>26.64</v>
      </c>
      <c r="I33" s="135">
        <f>VLOOKUP(tbl_position[[#This Row],[Date]], tbl_FDX[], 5, 0)</f>
        <v>287.39999999999998</v>
      </c>
      <c r="J33" s="135">
        <f>VLOOKUP(tbl_position[[#This Row],[Date]], tbl_NKLA[], 5, 0)</f>
        <v>20.72</v>
      </c>
      <c r="K33" s="135">
        <f>VLOOKUP(tbl_position[[#This Row],[Date]], tbl_SPXS[], 5, 0)</f>
        <v>5.3</v>
      </c>
      <c r="L33" s="135">
        <f>VLOOKUP(tbl_position[[#This Row],[Date]], tbl_AMD[], 5, 0)</f>
        <v>81.56</v>
      </c>
      <c r="M33" s="135">
        <f>VLOOKUP(tbl_position[[#This Row],[Date]], tbl_CVX[], 5, 0)</f>
        <v>71.680000000000007</v>
      </c>
      <c r="N33" s="135">
        <f>VLOOKUP(tbl_position[[#This Row],[Date]], tbl_QCOM[], 5, 0)</f>
        <v>128.30000000000001</v>
      </c>
      <c r="O33" s="135">
        <f>VLOOKUP(tbl_position[[#This Row],[Date]], tbl_F[], 5, 0)</f>
        <v>7.74</v>
      </c>
      <c r="P33" s="127"/>
      <c r="Q33" s="127"/>
      <c r="R33" s="127"/>
      <c r="S33" s="127"/>
      <c r="T33" s="127"/>
      <c r="U33" s="127"/>
      <c r="V33" s="127"/>
      <c r="W33" s="127"/>
      <c r="X3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$X32)</f>
        <v>0</v>
      </c>
      <c r="Y3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$Y32)</f>
        <v>0</v>
      </c>
      <c r="Z3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$Z32)</f>
        <v>50</v>
      </c>
      <c r="AA3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$AA32)</f>
        <v>0</v>
      </c>
      <c r="AB3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$AB32)</f>
        <v>100</v>
      </c>
      <c r="AC3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$AC32)</f>
        <v>0</v>
      </c>
      <c r="AD3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$AD32)</f>
        <v>0</v>
      </c>
      <c r="AE3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$AE32)</f>
        <v>50</v>
      </c>
      <c r="AF3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$AF32)</f>
        <v>0</v>
      </c>
      <c r="AG3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$AG32)</f>
        <v>0</v>
      </c>
      <c r="AH3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$AH32)</f>
        <v>150</v>
      </c>
      <c r="AI3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$AI32)</f>
        <v>101</v>
      </c>
      <c r="AJ3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$AJ32)</f>
        <v>50</v>
      </c>
      <c r="AK3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$AK32)</f>
        <v>600</v>
      </c>
      <c r="AL3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$AL32)</f>
        <v>0</v>
      </c>
      <c r="AM3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$AM32)</f>
        <v>0</v>
      </c>
      <c r="AN3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$AN32)</f>
        <v>0</v>
      </c>
      <c r="AO3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$AO32)</f>
        <v>0</v>
      </c>
      <c r="AP3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$AP32)</f>
        <v>0</v>
      </c>
      <c r="AQ3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$AQ32)</f>
        <v>0</v>
      </c>
      <c r="AR3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$AR32)</f>
        <v>0</v>
      </c>
      <c r="AS3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$AS32)</f>
        <v>0</v>
      </c>
      <c r="AT33" s="10">
        <f ca="1" xml:space="preserve"> SUMPRODUCT(INDIRECT(ADDRESS(ROW(AT33), 2)):INDIRECT(ADDRESS(ROW(AT33), MATCH("Shares_AAPL", pos_header,0)-1)), INDIRECT(ADDRESS(ROW(AT33), MATCH("Shares_AAPL", pos_header,0))): INDIRECT(ADDRESS(ROW(AT33), MATCH("Shares_Holding", pos_header,0)-1)))</f>
        <v>70941.680000000008</v>
      </c>
      <c r="AU33" s="135">
        <v>22113.26</v>
      </c>
      <c r="AV33" s="11">
        <f>SUMIFS(tbl_transaction[Net_Debt_Change], tbl_transaction[Transaction_Date],tbl_position[[#This Row],[Date]])+IF(tbl_position[[#This Row],[Date]]=$A$5, 0, $AV32)</f>
        <v>-4542.1000000000004</v>
      </c>
      <c r="AW33" s="48">
        <f ca="1">tbl_position[[#This Row],[Shares_Holding]]+tbl_position[[#This Row],[Cash_Holding]]-tbl_position[[#This Row],[Liabilities_Holding]]</f>
        <v>97597.040000000008</v>
      </c>
      <c r="AX33" s="48">
        <v>93437.07</v>
      </c>
    </row>
    <row r="34" spans="1:50" x14ac:dyDescent="0.35">
      <c r="A34" s="9">
        <v>44125</v>
      </c>
      <c r="B34" s="10">
        <f>VLOOKUP(tbl_position[[#This Row],[Date]], tbl_AAPL[], 5, 0)</f>
        <v>116.87</v>
      </c>
      <c r="C34" s="127">
        <f>VLOOKUP(tbl_position[[#This Row],[Date]], tbl_RIOT[], 5, 0)</f>
        <v>3.98</v>
      </c>
      <c r="D34" s="10">
        <f>VLOOKUP(tbl_position[[#This Row],[Date]], tbl_HD[], 5, 0)</f>
        <v>284.51</v>
      </c>
      <c r="E34" s="127">
        <f>VLOOKUP(tbl_position[[#This Row],[Date]], tbl_WMT[], 5, 0)</f>
        <v>144.4</v>
      </c>
      <c r="F34" s="127">
        <f>VLOOKUP(tbl_position[[#This Row],[Date]], tbl_IBM[], 5, 0)</f>
        <v>115.06</v>
      </c>
      <c r="G34" s="127">
        <f>VLOOKUP(tbl_position[[#This Row],[Date]], tbl_ORCL[], 5, 0)</f>
        <v>59.67</v>
      </c>
      <c r="H34" s="135">
        <f>VLOOKUP(tbl_position[[#This Row],[Date]], tbl_AKRO[], 5, 0)</f>
        <v>25.8</v>
      </c>
      <c r="I34" s="135">
        <f>VLOOKUP(tbl_position[[#This Row],[Date]], tbl_FDX[], 5, 0)</f>
        <v>282.27999999999997</v>
      </c>
      <c r="J34" s="135">
        <f>VLOOKUP(tbl_position[[#This Row],[Date]], tbl_NKLA[], 5, 0)</f>
        <v>22.24</v>
      </c>
      <c r="K34" s="135">
        <f>VLOOKUP(tbl_position[[#This Row],[Date]], tbl_SPXS[], 5, 0)</f>
        <v>5.33</v>
      </c>
      <c r="L34" s="135">
        <f>VLOOKUP(tbl_position[[#This Row],[Date]], tbl_AMD[], 5, 0)</f>
        <v>79.2</v>
      </c>
      <c r="M34" s="135">
        <f>VLOOKUP(tbl_position[[#This Row],[Date]], tbl_CVX[], 5, 0)</f>
        <v>70.87</v>
      </c>
      <c r="N34" s="135">
        <f>VLOOKUP(tbl_position[[#This Row],[Date]], tbl_QCOM[], 5, 0)</f>
        <v>128.55000000000001</v>
      </c>
      <c r="O34" s="135">
        <f>VLOOKUP(tbl_position[[#This Row],[Date]], tbl_F[], 5, 0)</f>
        <v>7.85</v>
      </c>
      <c r="P34" s="127">
        <f>VLOOKUP(tbl_position[[#This Row],[Date]], tbl_LTHM[], 5, 0)</f>
        <v>10.97</v>
      </c>
      <c r="Q34" s="127"/>
      <c r="R34" s="127"/>
      <c r="S34" s="127"/>
      <c r="T34" s="127"/>
      <c r="U34" s="127"/>
      <c r="V34" s="127"/>
      <c r="W34" s="127"/>
      <c r="X3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$X33)</f>
        <v>0</v>
      </c>
      <c r="Y3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$Y33)</f>
        <v>3000</v>
      </c>
      <c r="Z3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$Z33)</f>
        <v>50</v>
      </c>
      <c r="AA3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$AA33)</f>
        <v>0</v>
      </c>
      <c r="AB3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$AB33)</f>
        <v>100</v>
      </c>
      <c r="AC3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$AC33)</f>
        <v>0</v>
      </c>
      <c r="AD3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$AD33)</f>
        <v>0</v>
      </c>
      <c r="AE3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$AE33)</f>
        <v>50</v>
      </c>
      <c r="AF3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$AF33)</f>
        <v>0</v>
      </c>
      <c r="AG3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$AG33)</f>
        <v>0</v>
      </c>
      <c r="AH3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$AH33)</f>
        <v>150</v>
      </c>
      <c r="AI3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$AI33)</f>
        <v>101</v>
      </c>
      <c r="AJ3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$AJ33)</f>
        <v>50</v>
      </c>
      <c r="AK3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$AK33)</f>
        <v>600</v>
      </c>
      <c r="AL3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$AL33)</f>
        <v>1501</v>
      </c>
      <c r="AM3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$AM33)</f>
        <v>0</v>
      </c>
      <c r="AN3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$AN33)</f>
        <v>0</v>
      </c>
      <c r="AO3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$AO33)</f>
        <v>0</v>
      </c>
      <c r="AP3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$AP33)</f>
        <v>0</v>
      </c>
      <c r="AQ3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$AQ33)</f>
        <v>0</v>
      </c>
      <c r="AR3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$AR33)</f>
        <v>0</v>
      </c>
      <c r="AS3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$AS33)</f>
        <v>0</v>
      </c>
      <c r="AT34" s="10">
        <f ca="1" xml:space="preserve"> SUMPRODUCT(INDIRECT(ADDRESS(ROW(AT34), 2)):INDIRECT(ADDRESS(ROW(AT34), MATCH("Shares_AAPL", pos_header,0)-1)), INDIRECT(ADDRESS(ROW(AT34), MATCH("Shares_AAPL", pos_header,0))): INDIRECT(ADDRESS(ROW(AT34), MATCH("Shares_Holding", pos_header,0)-1)))</f>
        <v>98426.84</v>
      </c>
      <c r="AU34" s="135">
        <v>5632.53</v>
      </c>
      <c r="AV34" s="11">
        <f>SUMIFS(tbl_transaction[Net_Debt_Change], tbl_transaction[Transaction_Date],tbl_position[[#This Row],[Date]])+IF(tbl_position[[#This Row],[Date]]=$A$5, 0, $AV33)</f>
        <v>7307.9</v>
      </c>
      <c r="AW34" s="48">
        <f ca="1">tbl_position[[#This Row],[Shares_Holding]]+tbl_position[[#This Row],[Cash_Holding]]-tbl_position[[#This Row],[Liabilities_Holding]]</f>
        <v>96751.47</v>
      </c>
      <c r="AX34" s="48">
        <v>91992.36</v>
      </c>
    </row>
    <row r="35" spans="1:50" x14ac:dyDescent="0.35">
      <c r="A35" s="9">
        <v>44126</v>
      </c>
      <c r="B35" s="10">
        <f>VLOOKUP(tbl_position[[#This Row],[Date]], tbl_AAPL[], 5, 0)</f>
        <v>115.75</v>
      </c>
      <c r="C35" s="127">
        <f>VLOOKUP(tbl_position[[#This Row],[Date]], tbl_RIOT[], 5, 0)</f>
        <v>4.0549999999999997</v>
      </c>
      <c r="D35" s="10">
        <f>VLOOKUP(tbl_position[[#This Row],[Date]], tbl_HD[], 5, 0)</f>
        <v>281.16000000000003</v>
      </c>
      <c r="E35" s="127">
        <f>VLOOKUP(tbl_position[[#This Row],[Date]], tbl_WMT[], 5, 0)</f>
        <v>143.55000000000001</v>
      </c>
      <c r="F35" s="127">
        <f>VLOOKUP(tbl_position[[#This Row],[Date]], tbl_IBM[], 5, 0)</f>
        <v>115.76</v>
      </c>
      <c r="G35" s="127">
        <f>VLOOKUP(tbl_position[[#This Row],[Date]], tbl_ORCL[], 5, 0)</f>
        <v>59.69</v>
      </c>
      <c r="H35" s="135">
        <f>VLOOKUP(tbl_position[[#This Row],[Date]], tbl_AKRO[], 5, 0)</f>
        <v>25.81</v>
      </c>
      <c r="I35" s="135">
        <f>VLOOKUP(tbl_position[[#This Row],[Date]], tbl_FDX[], 5, 0)</f>
        <v>275.95</v>
      </c>
      <c r="J35" s="135">
        <f>VLOOKUP(tbl_position[[#This Row],[Date]], tbl_NKLA[], 5, 0)</f>
        <v>22.72</v>
      </c>
      <c r="K35" s="135">
        <f>VLOOKUP(tbl_position[[#This Row],[Date]], tbl_SPXS[], 5, 0)</f>
        <v>5.24</v>
      </c>
      <c r="L35" s="135">
        <f>VLOOKUP(tbl_position[[#This Row],[Date]], tbl_AMD[], 5, 0)</f>
        <v>79.42</v>
      </c>
      <c r="M35" s="135">
        <f>VLOOKUP(tbl_position[[#This Row],[Date]], tbl_CVX[], 5, 0)</f>
        <v>73.400000000000006</v>
      </c>
      <c r="N35" s="135">
        <f>VLOOKUP(tbl_position[[#This Row],[Date]], tbl_QCOM[], 5, 0)</f>
        <v>128.38</v>
      </c>
      <c r="O35" s="135">
        <f>VLOOKUP(tbl_position[[#This Row],[Date]], tbl_F[], 5, 0)</f>
        <v>8.2100000000000009</v>
      </c>
      <c r="P35" s="127">
        <f>VLOOKUP(tbl_position[[#This Row],[Date]], tbl_LTHM[], 5, 0)</f>
        <v>10.6</v>
      </c>
      <c r="Q35" s="127"/>
      <c r="R35" s="127"/>
      <c r="S35" s="127"/>
      <c r="T35" s="127"/>
      <c r="U35" s="127"/>
      <c r="V35" s="127"/>
      <c r="W35" s="127"/>
      <c r="X3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$X34)</f>
        <v>0</v>
      </c>
      <c r="Y3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$Y34)</f>
        <v>3000</v>
      </c>
      <c r="Z3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$Z34)</f>
        <v>50</v>
      </c>
      <c r="AA3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$AA34)</f>
        <v>0</v>
      </c>
      <c r="AB3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$AB34)</f>
        <v>100</v>
      </c>
      <c r="AC3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$AC34)</f>
        <v>0</v>
      </c>
      <c r="AD3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$AD34)</f>
        <v>0</v>
      </c>
      <c r="AE3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$AE34)</f>
        <v>50</v>
      </c>
      <c r="AF3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$AF34)</f>
        <v>0</v>
      </c>
      <c r="AG3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$AG34)</f>
        <v>0</v>
      </c>
      <c r="AH3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$AH34)</f>
        <v>150</v>
      </c>
      <c r="AI3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$AI34)</f>
        <v>101</v>
      </c>
      <c r="AJ3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$AJ34)</f>
        <v>50</v>
      </c>
      <c r="AK3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$AK34)</f>
        <v>600</v>
      </c>
      <c r="AL3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$AL34)</f>
        <v>1501</v>
      </c>
      <c r="AM3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$AM34)</f>
        <v>0</v>
      </c>
      <c r="AN3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$AN34)</f>
        <v>0</v>
      </c>
      <c r="AO3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$AO34)</f>
        <v>0</v>
      </c>
      <c r="AP3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$AP34)</f>
        <v>0</v>
      </c>
      <c r="AQ3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$AQ34)</f>
        <v>0</v>
      </c>
      <c r="AR3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$AR34)</f>
        <v>0</v>
      </c>
      <c r="AS3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$AS34)</f>
        <v>0</v>
      </c>
      <c r="AT35" s="10">
        <f ca="1" xml:space="preserve"> SUMPRODUCT(INDIRECT(ADDRESS(ROW(AT35), 2)):INDIRECT(ADDRESS(ROW(AT35), MATCH("Shares_AAPL", pos_header,0)-1)), INDIRECT(ADDRESS(ROW(AT35), MATCH("Shares_AAPL", pos_header,0))): INDIRECT(ADDRESS(ROW(AT35), MATCH("Shares_Holding", pos_header,0)-1)))</f>
        <v>98178.5</v>
      </c>
      <c r="AU35" s="135">
        <v>5632.53</v>
      </c>
      <c r="AV35" s="11">
        <f>SUMIFS(tbl_transaction[Net_Debt_Change], tbl_transaction[Transaction_Date],tbl_position[[#This Row],[Date]])+IF(tbl_position[[#This Row],[Date]]=$A$5, 0, $AV34)</f>
        <v>7307.9</v>
      </c>
      <c r="AW35" s="48">
        <f ca="1">tbl_position[[#This Row],[Shares_Holding]]+tbl_position[[#This Row],[Cash_Holding]]-tbl_position[[#This Row],[Liabilities_Holding]]</f>
        <v>96503.13</v>
      </c>
      <c r="AX35" s="48">
        <v>91347.520000000004</v>
      </c>
    </row>
    <row r="36" spans="1:50" x14ac:dyDescent="0.35">
      <c r="A36" s="9">
        <v>44127</v>
      </c>
      <c r="B36" s="10">
        <f>VLOOKUP(tbl_position[[#This Row],[Date]], tbl_AAPL[], 5, 0)</f>
        <v>115.04</v>
      </c>
      <c r="C36" s="127">
        <f>VLOOKUP(tbl_position[[#This Row],[Date]], tbl_RIOT[], 5, 0)</f>
        <v>3.91</v>
      </c>
      <c r="D36" s="10">
        <f>VLOOKUP(tbl_position[[#This Row],[Date]], tbl_HD[], 5, 0)</f>
        <v>283</v>
      </c>
      <c r="E36" s="127">
        <f>VLOOKUP(tbl_position[[#This Row],[Date]], tbl_WMT[], 5, 0)</f>
        <v>143.85</v>
      </c>
      <c r="F36" s="127">
        <f>VLOOKUP(tbl_position[[#This Row],[Date]], tbl_IBM[], 5, 0)</f>
        <v>116</v>
      </c>
      <c r="G36" s="127">
        <f>VLOOKUP(tbl_position[[#This Row],[Date]], tbl_ORCL[], 5, 0)</f>
        <v>59.9</v>
      </c>
      <c r="H36" s="135">
        <f>VLOOKUP(tbl_position[[#This Row],[Date]], tbl_AKRO[], 5, 0)</f>
        <v>26.24</v>
      </c>
      <c r="I36" s="135">
        <f>VLOOKUP(tbl_position[[#This Row],[Date]], tbl_FDX[], 5, 0)</f>
        <v>283.56</v>
      </c>
      <c r="J36" s="135">
        <f>VLOOKUP(tbl_position[[#This Row],[Date]], tbl_NKLA[], 5, 0)</f>
        <v>22.54</v>
      </c>
      <c r="K36" s="135">
        <f>VLOOKUP(tbl_position[[#This Row],[Date]], tbl_SPXS[], 5, 0)</f>
        <v>5.18</v>
      </c>
      <c r="L36" s="135">
        <f>VLOOKUP(tbl_position[[#This Row],[Date]], tbl_AMD[], 5, 0)</f>
        <v>81.96</v>
      </c>
      <c r="M36" s="135">
        <f>VLOOKUP(tbl_position[[#This Row],[Date]], tbl_CVX[], 5, 0)</f>
        <v>72.569999999999993</v>
      </c>
      <c r="N36" s="135">
        <f>VLOOKUP(tbl_position[[#This Row],[Date]], tbl_QCOM[], 5, 0)</f>
        <v>128.88</v>
      </c>
      <c r="O36" s="135">
        <f>VLOOKUP(tbl_position[[#This Row],[Date]], tbl_F[], 5, 0)</f>
        <v>8.16</v>
      </c>
      <c r="P36" s="127">
        <f>VLOOKUP(tbl_position[[#This Row],[Date]], tbl_LTHM[], 5, 0)</f>
        <v>10.79</v>
      </c>
      <c r="Q36" s="127"/>
      <c r="R36" s="127"/>
      <c r="S36" s="127"/>
      <c r="T36" s="127"/>
      <c r="U36" s="127"/>
      <c r="V36" s="127"/>
      <c r="W36" s="127"/>
      <c r="X3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$X35)</f>
        <v>0</v>
      </c>
      <c r="Y3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$Y35)</f>
        <v>3000</v>
      </c>
      <c r="Z3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$Z35)</f>
        <v>50</v>
      </c>
      <c r="AA3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$AA35)</f>
        <v>0</v>
      </c>
      <c r="AB3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$AB35)</f>
        <v>100</v>
      </c>
      <c r="AC3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$AC35)</f>
        <v>0</v>
      </c>
      <c r="AD3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$AD35)</f>
        <v>0</v>
      </c>
      <c r="AE3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$AE35)</f>
        <v>50</v>
      </c>
      <c r="AF3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$AF35)</f>
        <v>0</v>
      </c>
      <c r="AG3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$AG35)</f>
        <v>0</v>
      </c>
      <c r="AH3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$AH35)</f>
        <v>150</v>
      </c>
      <c r="AI3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$AI35)</f>
        <v>101</v>
      </c>
      <c r="AJ3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$AJ35)</f>
        <v>50</v>
      </c>
      <c r="AK3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$AK35)</f>
        <v>0</v>
      </c>
      <c r="AL3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$AL35)</f>
        <v>1501</v>
      </c>
      <c r="AM3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$AM35)</f>
        <v>0</v>
      </c>
      <c r="AN3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$AN35)</f>
        <v>0</v>
      </c>
      <c r="AO3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$AO35)</f>
        <v>0</v>
      </c>
      <c r="AP3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$AP35)</f>
        <v>0</v>
      </c>
      <c r="AQ3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$AQ35)</f>
        <v>0</v>
      </c>
      <c r="AR3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$AR35)</f>
        <v>0</v>
      </c>
      <c r="AS3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$AS35)</f>
        <v>0</v>
      </c>
      <c r="AT36" s="10">
        <f ca="1" xml:space="preserve"> SUMPRODUCT(INDIRECT(ADDRESS(ROW(AT36), 2)):INDIRECT(ADDRESS(ROW(AT36), MATCH("Shares_AAPL", pos_header,0)-1)), INDIRECT(ADDRESS(ROW(AT36), MATCH("Shares_AAPL", pos_header,0))): INDIRECT(ADDRESS(ROW(AT36), MATCH("Shares_Holding", pos_header,0)-1)))</f>
        <v>93921.36</v>
      </c>
      <c r="AU36" s="135">
        <v>10520.53</v>
      </c>
      <c r="AV36" s="11">
        <f>SUMIFS(tbl_transaction[Net_Debt_Change], tbl_transaction[Transaction_Date],tbl_position[[#This Row],[Date]])+IF(tbl_position[[#This Row],[Date]]=$A$5, 0, $AV35)</f>
        <v>7307.9</v>
      </c>
      <c r="AW36" s="48">
        <f ca="1">tbl_position[[#This Row],[Shares_Holding]]+tbl_position[[#This Row],[Cash_Holding]]-tbl_position[[#This Row],[Liabilities_Holding]]</f>
        <v>97133.99</v>
      </c>
      <c r="AX36" s="48">
        <v>92818.93</v>
      </c>
    </row>
    <row r="37" spans="1:50" x14ac:dyDescent="0.35">
      <c r="A37" s="9">
        <v>44130</v>
      </c>
      <c r="B37" s="10">
        <f>VLOOKUP(tbl_position[[#This Row],[Date]], tbl_AAPL[], 5, 0)</f>
        <v>115.05</v>
      </c>
      <c r="C37" s="127">
        <f>VLOOKUP(tbl_position[[#This Row],[Date]], tbl_RIOT[], 5, 0)</f>
        <v>3.85</v>
      </c>
      <c r="D37" s="10">
        <f>VLOOKUP(tbl_position[[#This Row],[Date]], tbl_HD[], 5, 0)</f>
        <v>276.04000000000002</v>
      </c>
      <c r="E37" s="127">
        <f>VLOOKUP(tbl_position[[#This Row],[Date]], tbl_WMT[], 5, 0)</f>
        <v>142.16</v>
      </c>
      <c r="F37" s="127">
        <f>VLOOKUP(tbl_position[[#This Row],[Date]], tbl_IBM[], 5, 0)</f>
        <v>112.22</v>
      </c>
      <c r="G37" s="127">
        <f>VLOOKUP(tbl_position[[#This Row],[Date]], tbl_ORCL[], 5, 0)</f>
        <v>57.49</v>
      </c>
      <c r="H37" s="135">
        <f>VLOOKUP(tbl_position[[#This Row],[Date]], tbl_AKRO[], 5, 0)</f>
        <v>26.26</v>
      </c>
      <c r="I37" s="135">
        <f>VLOOKUP(tbl_position[[#This Row],[Date]], tbl_FDX[], 5, 0)</f>
        <v>277.62</v>
      </c>
      <c r="J37" s="135">
        <f>VLOOKUP(tbl_position[[#This Row],[Date]], tbl_NKLA[], 5, 0)</f>
        <v>20.91</v>
      </c>
      <c r="K37" s="135">
        <f>VLOOKUP(tbl_position[[#This Row],[Date]], tbl_SPXS[], 5, 0)</f>
        <v>5.46</v>
      </c>
      <c r="L37" s="135">
        <f>VLOOKUP(tbl_position[[#This Row],[Date]], tbl_AMD[], 5, 0)</f>
        <v>82.23</v>
      </c>
      <c r="M37" s="135">
        <f>VLOOKUP(tbl_position[[#This Row],[Date]], tbl_CVX[], 5, 0)</f>
        <v>70.94</v>
      </c>
      <c r="N37" s="135">
        <f>VLOOKUP(tbl_position[[#This Row],[Date]], tbl_QCOM[], 5, 0)</f>
        <v>126.2</v>
      </c>
      <c r="O37" s="135">
        <f>VLOOKUP(tbl_position[[#This Row],[Date]], tbl_F[], 5, 0)</f>
        <v>8.0299999999999994</v>
      </c>
      <c r="P37" s="127">
        <f>VLOOKUP(tbl_position[[#This Row],[Date]], tbl_LTHM[], 5, 0)</f>
        <v>10.62</v>
      </c>
      <c r="Q37" s="127"/>
      <c r="R37" s="127"/>
      <c r="S37" s="127"/>
      <c r="T37" s="127"/>
      <c r="U37" s="127"/>
      <c r="V37" s="127"/>
      <c r="W37" s="127"/>
      <c r="X3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$X36)</f>
        <v>0</v>
      </c>
      <c r="Y3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$Y36)</f>
        <v>3000</v>
      </c>
      <c r="Z3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$Z36)</f>
        <v>50</v>
      </c>
      <c r="AA3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$AA36)</f>
        <v>0</v>
      </c>
      <c r="AB3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$AB36)</f>
        <v>100</v>
      </c>
      <c r="AC3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$AC36)</f>
        <v>0</v>
      </c>
      <c r="AD3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$AD36)</f>
        <v>0</v>
      </c>
      <c r="AE3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$AE36)</f>
        <v>50</v>
      </c>
      <c r="AF3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$AF36)</f>
        <v>0</v>
      </c>
      <c r="AG3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$AG36)</f>
        <v>0</v>
      </c>
      <c r="AH3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$AH36)</f>
        <v>150</v>
      </c>
      <c r="AI3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$AI36)</f>
        <v>101</v>
      </c>
      <c r="AJ3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$AJ36)</f>
        <v>50</v>
      </c>
      <c r="AK3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$AK36)</f>
        <v>0</v>
      </c>
      <c r="AL3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$AL36)</f>
        <v>1501</v>
      </c>
      <c r="AM3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$AM36)</f>
        <v>0</v>
      </c>
      <c r="AN3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$AN36)</f>
        <v>0</v>
      </c>
      <c r="AO3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$AO36)</f>
        <v>0</v>
      </c>
      <c r="AP3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$AP36)</f>
        <v>0</v>
      </c>
      <c r="AQ3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$AQ36)</f>
        <v>0</v>
      </c>
      <c r="AR3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$AR36)</f>
        <v>0</v>
      </c>
      <c r="AS3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$AS36)</f>
        <v>0</v>
      </c>
      <c r="AT37" s="10">
        <f ca="1" xml:space="preserve"> SUMPRODUCT(INDIRECT(ADDRESS(ROW(AT37), 2)):INDIRECT(ADDRESS(ROW(AT37), MATCH("Shares_AAPL", pos_header,0)-1)), INDIRECT(ADDRESS(ROW(AT37), MATCH("Shares_AAPL", pos_header,0))): INDIRECT(ADDRESS(ROW(AT37), MATCH("Shares_Holding", pos_header,0)-1)))</f>
        <v>92205.06</v>
      </c>
      <c r="AU37" s="135">
        <v>10520.53</v>
      </c>
      <c r="AV37" s="11">
        <f>SUMIFS(tbl_transaction[Net_Debt_Change], tbl_transaction[Transaction_Date],tbl_position[[#This Row],[Date]])+IF(tbl_position[[#This Row],[Date]]=$A$5, 0, $AV36)</f>
        <v>7307.9</v>
      </c>
      <c r="AW37" s="48">
        <f ca="1">tbl_position[[#This Row],[Shares_Holding]]+tbl_position[[#This Row],[Cash_Holding]]-tbl_position[[#This Row],[Liabilities_Holding]]</f>
        <v>95417.69</v>
      </c>
      <c r="AX37" s="48">
        <v>91459.08</v>
      </c>
    </row>
    <row r="38" spans="1:50" x14ac:dyDescent="0.35">
      <c r="A38" s="9">
        <v>44131</v>
      </c>
      <c r="B38" s="10">
        <f>VLOOKUP(tbl_position[[#This Row],[Date]], tbl_AAPL[], 5, 0)</f>
        <v>116.6</v>
      </c>
      <c r="C38" s="127">
        <f>VLOOKUP(tbl_position[[#This Row],[Date]], tbl_RIOT[], 5, 0)</f>
        <v>4.0199999999999996</v>
      </c>
      <c r="D38" s="10">
        <f>VLOOKUP(tbl_position[[#This Row],[Date]], tbl_HD[], 5, 0)</f>
        <v>276.83999999999997</v>
      </c>
      <c r="E38" s="127">
        <f>VLOOKUP(tbl_position[[#This Row],[Date]], tbl_WMT[], 5, 0)</f>
        <v>142.87</v>
      </c>
      <c r="F38" s="127">
        <f>VLOOKUP(tbl_position[[#This Row],[Date]], tbl_IBM[], 5, 0)</f>
        <v>110.56</v>
      </c>
      <c r="G38" s="127">
        <f>VLOOKUP(tbl_position[[#This Row],[Date]], tbl_ORCL[], 5, 0)</f>
        <v>57.08</v>
      </c>
      <c r="H38" s="135">
        <f>VLOOKUP(tbl_position[[#This Row],[Date]], tbl_AKRO[], 5, 0)</f>
        <v>26.26</v>
      </c>
      <c r="I38" s="135">
        <f>VLOOKUP(tbl_position[[#This Row],[Date]], tbl_FDX[], 5, 0)</f>
        <v>274.41000000000003</v>
      </c>
      <c r="J38" s="135">
        <f>VLOOKUP(tbl_position[[#This Row],[Date]], tbl_NKLA[], 5, 0)</f>
        <v>21.39</v>
      </c>
      <c r="K38" s="135">
        <f>VLOOKUP(tbl_position[[#This Row],[Date]], tbl_SPXS[], 5, 0)</f>
        <v>5.53</v>
      </c>
      <c r="L38" s="135">
        <f>VLOOKUP(tbl_position[[#This Row],[Date]], tbl_AMD[], 5, 0)</f>
        <v>78.88</v>
      </c>
      <c r="M38" s="135">
        <f>VLOOKUP(tbl_position[[#This Row],[Date]], tbl_CVX[], 5, 0)</f>
        <v>69.510000000000005</v>
      </c>
      <c r="N38" s="135">
        <f>VLOOKUP(tbl_position[[#This Row],[Date]], tbl_QCOM[], 5, 0)</f>
        <v>125.91</v>
      </c>
      <c r="O38" s="135">
        <f>VLOOKUP(tbl_position[[#This Row],[Date]], tbl_F[], 5, 0)</f>
        <v>7.92</v>
      </c>
      <c r="P38" s="127">
        <f>VLOOKUP(tbl_position[[#This Row],[Date]], tbl_LTHM[], 5, 0)</f>
        <v>10.57</v>
      </c>
      <c r="Q38" s="127"/>
      <c r="R38" s="127"/>
      <c r="S38" s="127"/>
      <c r="T38" s="127"/>
      <c r="U38" s="127"/>
      <c r="V38" s="127"/>
      <c r="W38" s="127"/>
      <c r="X3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$X37)</f>
        <v>0</v>
      </c>
      <c r="Y3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$Y37)</f>
        <v>3000</v>
      </c>
      <c r="Z3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$Z37)</f>
        <v>50</v>
      </c>
      <c r="AA3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$AA37)</f>
        <v>0</v>
      </c>
      <c r="AB3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$AB37)</f>
        <v>100</v>
      </c>
      <c r="AC3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$AC37)</f>
        <v>0</v>
      </c>
      <c r="AD3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$AD37)</f>
        <v>0</v>
      </c>
      <c r="AE3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$AE37)</f>
        <v>50</v>
      </c>
      <c r="AF3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$AF37)</f>
        <v>0</v>
      </c>
      <c r="AG3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$AG37)</f>
        <v>0</v>
      </c>
      <c r="AH3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$AH37)</f>
        <v>150</v>
      </c>
      <c r="AI3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$AI37)</f>
        <v>101</v>
      </c>
      <c r="AJ3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$AJ37)</f>
        <v>50</v>
      </c>
      <c r="AK3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$AK37)</f>
        <v>0</v>
      </c>
      <c r="AL3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$AL37)</f>
        <v>1501</v>
      </c>
      <c r="AM3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$AM37)</f>
        <v>0</v>
      </c>
      <c r="AN3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$AN37)</f>
        <v>0</v>
      </c>
      <c r="AO3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$AO37)</f>
        <v>0</v>
      </c>
      <c r="AP3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$AP37)</f>
        <v>0</v>
      </c>
      <c r="AQ3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$AQ37)</f>
        <v>0</v>
      </c>
      <c r="AR3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$AR37)</f>
        <v>0</v>
      </c>
      <c r="AS3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$AS37)</f>
        <v>0</v>
      </c>
      <c r="AT38" s="10">
        <f ca="1" xml:space="preserve"> SUMPRODUCT(INDIRECT(ADDRESS(ROW(AT38), 2)):INDIRECT(ADDRESS(ROW(AT38), MATCH("Shares_AAPL", pos_header,0)-1)), INDIRECT(ADDRESS(ROW(AT38), MATCH("Shares_AAPL", pos_header,0))): INDIRECT(ADDRESS(ROW(AT38), MATCH("Shares_Holding", pos_header,0)-1)))</f>
        <v>91692.079999999987</v>
      </c>
      <c r="AU38" s="135">
        <v>10520.53</v>
      </c>
      <c r="AV38" s="11">
        <f>SUMIFS(tbl_transaction[Net_Debt_Change], tbl_transaction[Transaction_Date],tbl_position[[#This Row],[Date]])+IF(tbl_position[[#This Row],[Date]]=$A$5, 0, $AV37)</f>
        <v>7307.9</v>
      </c>
      <c r="AW38" s="48">
        <f ca="1">tbl_position[[#This Row],[Shares_Holding]]+tbl_position[[#This Row],[Cash_Holding]]-tbl_position[[#This Row],[Liabilities_Holding]]</f>
        <v>94904.709999999992</v>
      </c>
      <c r="AX38" s="48">
        <v>89927.09</v>
      </c>
    </row>
    <row r="39" spans="1:50" x14ac:dyDescent="0.35">
      <c r="A39" s="9">
        <v>44132</v>
      </c>
      <c r="B39" s="10">
        <f>VLOOKUP(tbl_position[[#This Row],[Date]], tbl_AAPL[], 5, 0)</f>
        <v>111.2</v>
      </c>
      <c r="C39" s="127">
        <f>VLOOKUP(tbl_position[[#This Row],[Date]], tbl_RIOT[], 5, 0)</f>
        <v>3.5</v>
      </c>
      <c r="D39" s="10">
        <f>VLOOKUP(tbl_position[[#This Row],[Date]], tbl_HD[], 5, 0)</f>
        <v>269.72000000000003</v>
      </c>
      <c r="E39" s="127">
        <f>VLOOKUP(tbl_position[[#This Row],[Date]], tbl_WMT[], 5, 0)</f>
        <v>140.04</v>
      </c>
      <c r="F39" s="127">
        <f>VLOOKUP(tbl_position[[#This Row],[Date]], tbl_IBM[], 5, 0)</f>
        <v>106.65</v>
      </c>
      <c r="G39" s="127">
        <f>VLOOKUP(tbl_position[[#This Row],[Date]], tbl_ORCL[], 5, 0)</f>
        <v>55.59</v>
      </c>
      <c r="H39" s="135">
        <f>VLOOKUP(tbl_position[[#This Row],[Date]], tbl_AKRO[], 5, 0)</f>
        <v>26.23</v>
      </c>
      <c r="I39" s="135">
        <f>VLOOKUP(tbl_position[[#This Row],[Date]], tbl_FDX[], 5, 0)</f>
        <v>259.99</v>
      </c>
      <c r="J39" s="135">
        <f>VLOOKUP(tbl_position[[#This Row],[Date]], tbl_NKLA[], 5, 0)</f>
        <v>19.670000000000002</v>
      </c>
      <c r="K39" s="135">
        <f>VLOOKUP(tbl_position[[#This Row],[Date]], tbl_SPXS[], 5, 0)</f>
        <v>6.08</v>
      </c>
      <c r="L39" s="135">
        <f>VLOOKUP(tbl_position[[#This Row],[Date]], tbl_AMD[], 5, 0)</f>
        <v>76.400000000000006</v>
      </c>
      <c r="M39" s="135">
        <f>VLOOKUP(tbl_position[[#This Row],[Date]], tbl_CVX[], 5, 0)</f>
        <v>66.88</v>
      </c>
      <c r="N39" s="135">
        <f>VLOOKUP(tbl_position[[#This Row],[Date]], tbl_QCOM[], 5, 0)</f>
        <v>121.58</v>
      </c>
      <c r="O39" s="135">
        <f>VLOOKUP(tbl_position[[#This Row],[Date]], tbl_F[], 5, 0)</f>
        <v>7.7</v>
      </c>
      <c r="P39" s="127">
        <f>VLOOKUP(tbl_position[[#This Row],[Date]], tbl_LTHM[], 5, 0)</f>
        <v>10.029999999999999</v>
      </c>
      <c r="Q39" s="127"/>
      <c r="R39" s="127"/>
      <c r="S39" s="127"/>
      <c r="T39" s="127"/>
      <c r="U39" s="127"/>
      <c r="V39" s="127"/>
      <c r="W39" s="127"/>
      <c r="X3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$X38)</f>
        <v>0</v>
      </c>
      <c r="Y3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$Y38)</f>
        <v>3000</v>
      </c>
      <c r="Z3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$Z38)</f>
        <v>50</v>
      </c>
      <c r="AA3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$AA38)</f>
        <v>0</v>
      </c>
      <c r="AB3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$AB38)</f>
        <v>100</v>
      </c>
      <c r="AC3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$AC38)</f>
        <v>0</v>
      </c>
      <c r="AD3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$AD38)</f>
        <v>0</v>
      </c>
      <c r="AE3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$AE38)</f>
        <v>50</v>
      </c>
      <c r="AF3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$AF38)</f>
        <v>0</v>
      </c>
      <c r="AG3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$AG38)</f>
        <v>0</v>
      </c>
      <c r="AH3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$AH38)</f>
        <v>150</v>
      </c>
      <c r="AI3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$AI38)</f>
        <v>101</v>
      </c>
      <c r="AJ3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$AJ38)</f>
        <v>50</v>
      </c>
      <c r="AK3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$AK38)</f>
        <v>0</v>
      </c>
      <c r="AL3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$AL38)</f>
        <v>1501</v>
      </c>
      <c r="AM3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$AM38)</f>
        <v>0</v>
      </c>
      <c r="AN3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$AN38)</f>
        <v>0</v>
      </c>
      <c r="AO3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$AO38)</f>
        <v>0</v>
      </c>
      <c r="AP3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$AP38)</f>
        <v>0</v>
      </c>
      <c r="AQ3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$AQ38)</f>
        <v>0</v>
      </c>
      <c r="AR3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$AR38)</f>
        <v>0</v>
      </c>
      <c r="AS3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$AS38)</f>
        <v>0</v>
      </c>
      <c r="AT39" s="10">
        <f ca="1" xml:space="preserve"> SUMPRODUCT(INDIRECT(ADDRESS(ROW(AT39), 2)):INDIRECT(ADDRESS(ROW(AT39), MATCH("Shares_AAPL", pos_header,0)-1)), INDIRECT(ADDRESS(ROW(AT39), MATCH("Shares_AAPL", pos_header,0))): INDIRECT(ADDRESS(ROW(AT39), MATCH("Shares_Holding", pos_header,0)-1)))</f>
        <v>86999.41</v>
      </c>
      <c r="AU39" s="135">
        <v>10520.53</v>
      </c>
      <c r="AV39" s="11">
        <f>SUMIFS(tbl_transaction[Net_Debt_Change], tbl_transaction[Transaction_Date],tbl_position[[#This Row],[Date]])+IF(tbl_position[[#This Row],[Date]]=$A$5, 0, $AV38)</f>
        <v>7307.9</v>
      </c>
      <c r="AW39" s="48">
        <f ca="1">tbl_position[[#This Row],[Shares_Holding]]+tbl_position[[#This Row],[Cash_Holding]]-tbl_position[[#This Row],[Liabilities_Holding]]</f>
        <v>90212.040000000008</v>
      </c>
      <c r="AX39" s="48">
        <v>88394.15</v>
      </c>
    </row>
    <row r="40" spans="1:50" x14ac:dyDescent="0.35">
      <c r="A40" s="9">
        <v>44133</v>
      </c>
      <c r="B40" s="10">
        <f>VLOOKUP(tbl_position[[#This Row],[Date]], tbl_AAPL[], 5, 0)</f>
        <v>115.32</v>
      </c>
      <c r="C40" s="127">
        <f>VLOOKUP(tbl_position[[#This Row],[Date]], tbl_RIOT[], 5, 0)</f>
        <v>3.55</v>
      </c>
      <c r="D40" s="10">
        <f>VLOOKUP(tbl_position[[#This Row],[Date]], tbl_HD[], 5, 0)</f>
        <v>269.63</v>
      </c>
      <c r="E40" s="127">
        <f>VLOOKUP(tbl_position[[#This Row],[Date]], tbl_WMT[], 5, 0)</f>
        <v>139.91999999999999</v>
      </c>
      <c r="F40" s="127">
        <f>VLOOKUP(tbl_position[[#This Row],[Date]], tbl_IBM[], 5, 0)</f>
        <v>108.91</v>
      </c>
      <c r="G40" s="127">
        <f>VLOOKUP(tbl_position[[#This Row],[Date]], tbl_ORCL[], 5, 0)</f>
        <v>56.02</v>
      </c>
      <c r="H40" s="135">
        <f>VLOOKUP(tbl_position[[#This Row],[Date]], tbl_AKRO[], 5, 0)</f>
        <v>26.5</v>
      </c>
      <c r="I40" s="135">
        <f>VLOOKUP(tbl_position[[#This Row],[Date]], tbl_FDX[], 5, 0)</f>
        <v>267.02</v>
      </c>
      <c r="J40" s="135">
        <f>VLOOKUP(tbl_position[[#This Row],[Date]], tbl_NKLA[], 5, 0)</f>
        <v>19.79</v>
      </c>
      <c r="K40" s="135">
        <f>VLOOKUP(tbl_position[[#This Row],[Date]], tbl_SPXS[], 5, 0)</f>
        <v>5.89</v>
      </c>
      <c r="L40" s="135">
        <f>VLOOKUP(tbl_position[[#This Row],[Date]], tbl_AMD[], 5, 0)</f>
        <v>78.02</v>
      </c>
      <c r="M40" s="135">
        <f>VLOOKUP(tbl_position[[#This Row],[Date]], tbl_CVX[], 5, 0)</f>
        <v>68.8</v>
      </c>
      <c r="N40" s="135">
        <f>VLOOKUP(tbl_position[[#This Row],[Date]], tbl_QCOM[], 5, 0)</f>
        <v>126.44</v>
      </c>
      <c r="O40" s="135">
        <f>VLOOKUP(tbl_position[[#This Row],[Date]], tbl_F[], 5, 0)</f>
        <v>7.9</v>
      </c>
      <c r="P40" s="127">
        <f>VLOOKUP(tbl_position[[#This Row],[Date]], tbl_LTHM[], 5, 0)</f>
        <v>10.9</v>
      </c>
      <c r="Q40" s="127">
        <f>VLOOKUP(tbl_position[[#This Row],[Date]], tbl_RCL[], 5, 0)</f>
        <v>53.83</v>
      </c>
      <c r="R40" s="127">
        <f>VLOOKUP(tbl_position[[#This Row],[Date]], tbl_OIL[], 5, 0)</f>
        <v>10.94</v>
      </c>
      <c r="S40" s="127">
        <f>VLOOKUP(tbl_position[[#This Row],[Date]], tbl_VIXY[], 5, 0)</f>
        <v>20.8</v>
      </c>
      <c r="T40" s="127"/>
      <c r="U40" s="127"/>
      <c r="V40" s="127"/>
      <c r="W40" s="127"/>
      <c r="X4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$X39)</f>
        <v>0</v>
      </c>
      <c r="Y4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$Y39)</f>
        <v>0</v>
      </c>
      <c r="Z4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$Z39)</f>
        <v>0</v>
      </c>
      <c r="AA4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$AA39)</f>
        <v>0</v>
      </c>
      <c r="AB4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$AB39)</f>
        <v>0</v>
      </c>
      <c r="AC4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$AC39)</f>
        <v>0</v>
      </c>
      <c r="AD4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$AD39)</f>
        <v>0</v>
      </c>
      <c r="AE4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$AE39)</f>
        <v>0</v>
      </c>
      <c r="AF4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$AF39)</f>
        <v>0</v>
      </c>
      <c r="AG4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$AG39)</f>
        <v>0</v>
      </c>
      <c r="AH4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$AH39)</f>
        <v>150</v>
      </c>
      <c r="AI4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$AI39)</f>
        <v>150</v>
      </c>
      <c r="AJ4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$AJ39)</f>
        <v>0</v>
      </c>
      <c r="AK4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$AK39)</f>
        <v>0</v>
      </c>
      <c r="AL4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$AL39)</f>
        <v>1501</v>
      </c>
      <c r="AM4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$AM39)</f>
        <v>235</v>
      </c>
      <c r="AN4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$AN39)</f>
        <v>50</v>
      </c>
      <c r="AO4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$AO39)</f>
        <v>-450</v>
      </c>
      <c r="AP4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$AP39)</f>
        <v>0</v>
      </c>
      <c r="AQ4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$AQ39)</f>
        <v>0</v>
      </c>
      <c r="AR4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$AR39)</f>
        <v>0</v>
      </c>
      <c r="AS4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$AS39)</f>
        <v>0</v>
      </c>
      <c r="AT40" s="10">
        <f ca="1" xml:space="preserve"> SUMPRODUCT(INDIRECT(ADDRESS(ROW(AT40), 2)):INDIRECT(ADDRESS(ROW(AT40), MATCH("Shares_AAPL", pos_header,0)-1)), INDIRECT(ADDRESS(ROW(AT40), MATCH("Shares_AAPL", pos_header,0))): INDIRECT(ADDRESS(ROW(AT40), MATCH("Shares_Holding", pos_header,0)-1)))</f>
        <v>42220.95</v>
      </c>
      <c r="AU40" s="135">
        <v>48119.54</v>
      </c>
      <c r="AV40" s="11">
        <f>SUMIFS(tbl_transaction[Net_Debt_Change], tbl_transaction[Transaction_Date],tbl_position[[#This Row],[Date]])+IF(tbl_position[[#This Row],[Date]]=$A$5, 0, $AV39)</f>
        <v>6300.9</v>
      </c>
      <c r="AW40" s="48">
        <f ca="1">tbl_position[[#This Row],[Shares_Holding]]+tbl_position[[#This Row],[Cash_Holding]]-tbl_position[[#This Row],[Liabilities_Holding]]</f>
        <v>84039.59</v>
      </c>
      <c r="AX40" s="48">
        <v>88262.79</v>
      </c>
    </row>
    <row r="41" spans="1:50" x14ac:dyDescent="0.35">
      <c r="A41" s="9">
        <v>44134</v>
      </c>
      <c r="B41" s="10">
        <f>VLOOKUP(tbl_position[[#This Row],[Date]], tbl_AAPL[], 5, 0)</f>
        <v>108.86</v>
      </c>
      <c r="C41" s="127">
        <f>VLOOKUP(tbl_position[[#This Row],[Date]], tbl_RIOT[], 5, 0)</f>
        <v>3.27</v>
      </c>
      <c r="D41" s="10">
        <f>VLOOKUP(tbl_position[[#This Row],[Date]], tbl_HD[], 5, 0)</f>
        <v>266.70999999999998</v>
      </c>
      <c r="E41" s="127">
        <f>VLOOKUP(tbl_position[[#This Row],[Date]], tbl_WMT[], 5, 0)</f>
        <v>138.75</v>
      </c>
      <c r="F41" s="127">
        <f>VLOOKUP(tbl_position[[#This Row],[Date]], tbl_IBM[], 5, 0)</f>
        <v>111.66</v>
      </c>
      <c r="G41" s="127">
        <f>VLOOKUP(tbl_position[[#This Row],[Date]], tbl_ORCL[], 5, 0)</f>
        <v>56.11</v>
      </c>
      <c r="H41" s="135">
        <f>VLOOKUP(tbl_position[[#This Row],[Date]], tbl_AKRO[], 5, 0)</f>
        <v>26.55</v>
      </c>
      <c r="I41" s="135">
        <f>VLOOKUP(tbl_position[[#This Row],[Date]], tbl_FDX[], 5, 0)</f>
        <v>259.47000000000003</v>
      </c>
      <c r="J41" s="135">
        <f>VLOOKUP(tbl_position[[#This Row],[Date]], tbl_NKLA[], 5, 0)</f>
        <v>18.309999999999999</v>
      </c>
      <c r="K41" s="135">
        <f>VLOOKUP(tbl_position[[#This Row],[Date]], tbl_SPXS[], 5, 0)</f>
        <v>6.09</v>
      </c>
      <c r="L41" s="135">
        <f>VLOOKUP(tbl_position[[#This Row],[Date]], tbl_AMD[], 5, 0)</f>
        <v>75.290000000000006</v>
      </c>
      <c r="M41" s="135">
        <f>VLOOKUP(tbl_position[[#This Row],[Date]], tbl_CVX[], 5, 0)</f>
        <v>69.5</v>
      </c>
      <c r="N41" s="135">
        <f>VLOOKUP(tbl_position[[#This Row],[Date]], tbl_QCOM[], 5, 0)</f>
        <v>123.36</v>
      </c>
      <c r="O41" s="135">
        <f>VLOOKUP(tbl_position[[#This Row],[Date]], tbl_F[], 5, 0)</f>
        <v>7.73</v>
      </c>
      <c r="P41" s="127">
        <f>VLOOKUP(tbl_position[[#This Row],[Date]], tbl_LTHM[], 5, 0)</f>
        <v>10.75</v>
      </c>
      <c r="Q41" s="127">
        <f>VLOOKUP(tbl_position[[#This Row],[Date]], tbl_RCL[], 5, 0)</f>
        <v>56.42</v>
      </c>
      <c r="R41" s="127">
        <f>VLOOKUP(tbl_position[[#This Row],[Date]], tbl_OIL[], 5, 0)</f>
        <v>10.77</v>
      </c>
      <c r="S41" s="127">
        <f>VLOOKUP(tbl_position[[#This Row],[Date]], tbl_VIXY[], 5, 0)</f>
        <v>21.73</v>
      </c>
      <c r="T41" s="127"/>
      <c r="U41" s="127"/>
      <c r="V41" s="127"/>
      <c r="W41" s="127"/>
      <c r="X4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$X40)</f>
        <v>0</v>
      </c>
      <c r="Y4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$Y40)</f>
        <v>0</v>
      </c>
      <c r="Z4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$Z40)</f>
        <v>0</v>
      </c>
      <c r="AA4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$AA40)</f>
        <v>0</v>
      </c>
      <c r="AB4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$AB40)</f>
        <v>0</v>
      </c>
      <c r="AC4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$AC40)</f>
        <v>0</v>
      </c>
      <c r="AD4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$AD40)</f>
        <v>0</v>
      </c>
      <c r="AE4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$AE40)</f>
        <v>0</v>
      </c>
      <c r="AF4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$AF40)</f>
        <v>0</v>
      </c>
      <c r="AG4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$AG40)</f>
        <v>0</v>
      </c>
      <c r="AH4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$AH40)</f>
        <v>150</v>
      </c>
      <c r="AI4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$AI40)</f>
        <v>150</v>
      </c>
      <c r="AJ4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$AJ40)</f>
        <v>0</v>
      </c>
      <c r="AK4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$AK40)</f>
        <v>0</v>
      </c>
      <c r="AL4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$AL40)</f>
        <v>1501</v>
      </c>
      <c r="AM4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$AM40)</f>
        <v>235</v>
      </c>
      <c r="AN4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$AN40)</f>
        <v>50</v>
      </c>
      <c r="AO4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$AO40)</f>
        <v>-450</v>
      </c>
      <c r="AP4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$AP40)</f>
        <v>0</v>
      </c>
      <c r="AQ4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$AQ40)</f>
        <v>0</v>
      </c>
      <c r="AR4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$AR40)</f>
        <v>0</v>
      </c>
      <c r="AS4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$AS40)</f>
        <v>0</v>
      </c>
      <c r="AT41" s="10">
        <f ca="1" xml:space="preserve"> SUMPRODUCT(INDIRECT(ADDRESS(ROW(AT41), 2)):INDIRECT(ADDRESS(ROW(AT41), MATCH("Shares_AAPL", pos_header,0)-1)), INDIRECT(ADDRESS(ROW(AT41), MATCH("Shares_AAPL", pos_header,0))): INDIRECT(ADDRESS(ROW(AT41), MATCH("Shares_Holding", pos_header,0)-1)))</f>
        <v>41872.949999999997</v>
      </c>
      <c r="AU41" s="135">
        <v>48119.54</v>
      </c>
      <c r="AV41" s="11">
        <f>SUMIFS(tbl_transaction[Net_Debt_Change], tbl_transaction[Transaction_Date],tbl_position[[#This Row],[Date]])+IF(tbl_position[[#This Row],[Date]]=$A$5, 0, $AV40)</f>
        <v>6300.9</v>
      </c>
      <c r="AW41" s="48">
        <f ca="1">tbl_position[[#This Row],[Shares_Holding]]+tbl_position[[#This Row],[Cash_Holding]]-tbl_position[[#This Row],[Liabilities_Holding]]</f>
        <v>83691.59</v>
      </c>
      <c r="AX41" s="48">
        <v>88145.58</v>
      </c>
    </row>
    <row r="42" spans="1:50" x14ac:dyDescent="0.35">
      <c r="A42" s="9">
        <v>44137</v>
      </c>
      <c r="B42" s="10">
        <f>VLOOKUP(tbl_position[[#This Row],[Date]], tbl_AAPL[], 5, 0)</f>
        <v>108.77</v>
      </c>
      <c r="C42" s="127">
        <f>VLOOKUP(tbl_position[[#This Row],[Date]], tbl_RIOT[], 5, 0)</f>
        <v>3.29</v>
      </c>
      <c r="D42" s="10">
        <f>VLOOKUP(tbl_position[[#This Row],[Date]], tbl_HD[], 5, 0)</f>
        <v>270.74</v>
      </c>
      <c r="E42" s="127">
        <f>VLOOKUP(tbl_position[[#This Row],[Date]], tbl_WMT[], 5, 0)</f>
        <v>140.4</v>
      </c>
      <c r="F42" s="127">
        <f>VLOOKUP(tbl_position[[#This Row],[Date]], tbl_IBM[], 5, 0)</f>
        <v>112.91</v>
      </c>
      <c r="G42" s="127">
        <f>VLOOKUP(tbl_position[[#This Row],[Date]], tbl_ORCL[], 5, 0)</f>
        <v>56.45</v>
      </c>
      <c r="H42" s="135">
        <f>VLOOKUP(tbl_position[[#This Row],[Date]], tbl_AKRO[], 5, 0)</f>
        <v>26.99</v>
      </c>
      <c r="I42" s="135">
        <f>VLOOKUP(tbl_position[[#This Row],[Date]], tbl_FDX[], 5, 0)</f>
        <v>266.98</v>
      </c>
      <c r="J42" s="135">
        <f>VLOOKUP(tbl_position[[#This Row],[Date]], tbl_NKLA[], 5, 0)</f>
        <v>18.579999999999998</v>
      </c>
      <c r="K42" s="135">
        <f>VLOOKUP(tbl_position[[#This Row],[Date]], tbl_SPXS[], 5, 0)</f>
        <v>5.88</v>
      </c>
      <c r="L42" s="135">
        <f>VLOOKUP(tbl_position[[#This Row],[Date]], tbl_AMD[], 5, 0)</f>
        <v>74.7</v>
      </c>
      <c r="M42" s="135">
        <f>VLOOKUP(tbl_position[[#This Row],[Date]], tbl_CVX[], 5, 0)</f>
        <v>72.150000000000006</v>
      </c>
      <c r="N42" s="135">
        <f>VLOOKUP(tbl_position[[#This Row],[Date]], tbl_QCOM[], 5, 0)</f>
        <v>123.97</v>
      </c>
      <c r="O42" s="135">
        <f>VLOOKUP(tbl_position[[#This Row],[Date]], tbl_F[], 5, 0)</f>
        <v>7.71</v>
      </c>
      <c r="P42" s="127">
        <f>VLOOKUP(tbl_position[[#This Row],[Date]], tbl_LTHM[], 5, 0)</f>
        <v>11.32</v>
      </c>
      <c r="Q42" s="127">
        <f>VLOOKUP(tbl_position[[#This Row],[Date]], tbl_RCL[], 5, 0)</f>
        <v>57.02</v>
      </c>
      <c r="R42" s="127">
        <f>VLOOKUP(tbl_position[[#This Row],[Date]], tbl_OIL[], 5, 0)</f>
        <v>11.21</v>
      </c>
      <c r="S42" s="127">
        <f>VLOOKUP(tbl_position[[#This Row],[Date]], tbl_VIXY[], 5, 0)</f>
        <v>21.26</v>
      </c>
      <c r="T42" s="127"/>
      <c r="U42" s="127"/>
      <c r="V42" s="127"/>
      <c r="W42" s="127"/>
      <c r="X4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$X41)</f>
        <v>0</v>
      </c>
      <c r="Y4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$Y41)</f>
        <v>0</v>
      </c>
      <c r="Z4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$Z41)</f>
        <v>0</v>
      </c>
      <c r="AA4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$AA41)</f>
        <v>0</v>
      </c>
      <c r="AB4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$AB41)</f>
        <v>0</v>
      </c>
      <c r="AC4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$AC41)</f>
        <v>0</v>
      </c>
      <c r="AD4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$AD41)</f>
        <v>0</v>
      </c>
      <c r="AE4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$AE41)</f>
        <v>0</v>
      </c>
      <c r="AF4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$AF41)</f>
        <v>0</v>
      </c>
      <c r="AG4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$AG41)</f>
        <v>0</v>
      </c>
      <c r="AH4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$AH41)</f>
        <v>150</v>
      </c>
      <c r="AI4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$AI41)</f>
        <v>0</v>
      </c>
      <c r="AJ4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$AJ41)</f>
        <v>0</v>
      </c>
      <c r="AK4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$AK41)</f>
        <v>0</v>
      </c>
      <c r="AL4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$AL41)</f>
        <v>1501</v>
      </c>
      <c r="AM42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$AM41)</f>
        <v>235</v>
      </c>
      <c r="AN42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$AN41)</f>
        <v>50</v>
      </c>
      <c r="AO42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$AO41)</f>
        <v>-450</v>
      </c>
      <c r="AP42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$AP41)</f>
        <v>0</v>
      </c>
      <c r="AQ42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$AQ41)</f>
        <v>0</v>
      </c>
      <c r="AR42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$AR41)</f>
        <v>0</v>
      </c>
      <c r="AS42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$AS41)</f>
        <v>0</v>
      </c>
      <c r="AT42" s="10">
        <f ca="1" xml:space="preserve"> SUMPRODUCT(INDIRECT(ADDRESS(ROW(AT42), 2)):INDIRECT(ADDRESS(ROW(AT42), MATCH("Shares_AAPL", pos_header,0)-1)), INDIRECT(ADDRESS(ROW(AT42), MATCH("Shares_AAPL", pos_header,0))): INDIRECT(ADDRESS(ROW(AT42), MATCH("Shares_Holding", pos_header,0)-1)))</f>
        <v>32589.520000000004</v>
      </c>
      <c r="AU42" s="135">
        <v>48119.54</v>
      </c>
      <c r="AV42" s="11">
        <f>SUMIFS(tbl_transaction[Net_Debt_Change], tbl_transaction[Transaction_Date],tbl_position[[#This Row],[Date]])+IF(tbl_position[[#This Row],[Date]]=$A$5, 0, $AV41)</f>
        <v>-4302.6000000000004</v>
      </c>
      <c r="AW42" s="48">
        <f ca="1">tbl_position[[#This Row],[Shares_Holding]]+tbl_position[[#This Row],[Cash_Holding]]-tbl_position[[#This Row],[Liabilities_Holding]]</f>
        <v>85011.66</v>
      </c>
      <c r="AX42" s="48">
        <v>88145.58</v>
      </c>
    </row>
    <row r="43" spans="1:50" x14ac:dyDescent="0.35">
      <c r="A43" s="9">
        <v>44138</v>
      </c>
      <c r="B43" s="10">
        <f>VLOOKUP(tbl_position[[#This Row],[Date]], tbl_AAPL[], 5, 0)</f>
        <v>110.44</v>
      </c>
      <c r="C43" s="127">
        <f>VLOOKUP(tbl_position[[#This Row],[Date]], tbl_RIOT[], 5, 0)</f>
        <v>3.5</v>
      </c>
      <c r="D43" s="10">
        <f>VLOOKUP(tbl_position[[#This Row],[Date]], tbl_HD[], 5, 0)</f>
        <v>277.37</v>
      </c>
      <c r="E43" s="127">
        <f>VLOOKUP(tbl_position[[#This Row],[Date]], tbl_WMT[], 5, 0)</f>
        <v>142.78</v>
      </c>
      <c r="F43" s="127">
        <f>VLOOKUP(tbl_position[[#This Row],[Date]], tbl_IBM[], 5, 0)</f>
        <v>114.16</v>
      </c>
      <c r="G43" s="127">
        <f>VLOOKUP(tbl_position[[#This Row],[Date]], tbl_ORCL[], 5, 0)</f>
        <v>56.8</v>
      </c>
      <c r="H43" s="135">
        <f>VLOOKUP(tbl_position[[#This Row],[Date]], tbl_AKRO[], 5, 0)</f>
        <v>27.58</v>
      </c>
      <c r="I43" s="135">
        <f>VLOOKUP(tbl_position[[#This Row],[Date]], tbl_FDX[], 5, 0)</f>
        <v>274.48</v>
      </c>
      <c r="J43" s="135">
        <f>VLOOKUP(tbl_position[[#This Row],[Date]], tbl_NKLA[], 5, 0)</f>
        <v>18.84</v>
      </c>
      <c r="K43" s="135">
        <f>VLOOKUP(tbl_position[[#This Row],[Date]], tbl_SPXS[], 5, 0)</f>
        <v>5.56</v>
      </c>
      <c r="L43" s="135">
        <f>VLOOKUP(tbl_position[[#This Row],[Date]], tbl_AMD[], 5, 0)</f>
        <v>76.58</v>
      </c>
      <c r="M43" s="135">
        <f>VLOOKUP(tbl_position[[#This Row],[Date]], tbl_CVX[], 5, 0)</f>
        <v>71.739999999999995</v>
      </c>
      <c r="N43" s="135">
        <f>VLOOKUP(tbl_position[[#This Row],[Date]], tbl_QCOM[], 5, 0)</f>
        <v>125.45</v>
      </c>
      <c r="O43" s="135">
        <f>VLOOKUP(tbl_position[[#This Row],[Date]], tbl_F[], 5, 0)</f>
        <v>7.88</v>
      </c>
      <c r="P43" s="127">
        <f>VLOOKUP(tbl_position[[#This Row],[Date]], tbl_LTHM[], 5, 0)</f>
        <v>11.58</v>
      </c>
      <c r="Q43" s="127">
        <f>VLOOKUP(tbl_position[[#This Row],[Date]], tbl_RCL[], 5, 0)</f>
        <v>57.57</v>
      </c>
      <c r="R43" s="127">
        <f>VLOOKUP(tbl_position[[#This Row],[Date]], tbl_OIL[], 5, 0)</f>
        <v>11.4</v>
      </c>
      <c r="S43" s="127">
        <f>VLOOKUP(tbl_position[[#This Row],[Date]], tbl_VIXY[], 5, 0)</f>
        <v>20.14</v>
      </c>
      <c r="T43" s="127"/>
      <c r="U43" s="127"/>
      <c r="V43" s="127"/>
      <c r="W43" s="127"/>
      <c r="X4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$X42)</f>
        <v>0</v>
      </c>
      <c r="Y4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$Y42)</f>
        <v>0</v>
      </c>
      <c r="Z4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$Z42)</f>
        <v>0</v>
      </c>
      <c r="AA4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$AA42)</f>
        <v>0</v>
      </c>
      <c r="AB4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$AB42)</f>
        <v>0</v>
      </c>
      <c r="AC4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$AC42)</f>
        <v>0</v>
      </c>
      <c r="AD4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$AD42)</f>
        <v>0</v>
      </c>
      <c r="AE4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$AE42)</f>
        <v>0</v>
      </c>
      <c r="AF4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$AF42)</f>
        <v>0</v>
      </c>
      <c r="AG4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$AG42)</f>
        <v>0</v>
      </c>
      <c r="AH4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$AH42)</f>
        <v>150</v>
      </c>
      <c r="AI4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$AI42)</f>
        <v>0</v>
      </c>
      <c r="AJ4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$AJ42)</f>
        <v>0</v>
      </c>
      <c r="AK4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$AK42)</f>
        <v>0</v>
      </c>
      <c r="AL4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$AL42)</f>
        <v>1501</v>
      </c>
      <c r="AM43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$AM42)</f>
        <v>235</v>
      </c>
      <c r="AN43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$AN42)</f>
        <v>0</v>
      </c>
      <c r="AO43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$AO42)</f>
        <v>-450</v>
      </c>
      <c r="AP43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$AP42)</f>
        <v>0</v>
      </c>
      <c r="AQ43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$AQ42)</f>
        <v>0</v>
      </c>
      <c r="AR43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$AR42)</f>
        <v>0</v>
      </c>
      <c r="AS43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$AS42)</f>
        <v>0</v>
      </c>
      <c r="AT43" s="10">
        <f ca="1" xml:space="preserve"> SUMPRODUCT(INDIRECT(ADDRESS(ROW(AT43), 2)):INDIRECT(ADDRESS(ROW(AT43), MATCH("Shares_AAPL", pos_header,0)-1)), INDIRECT(ADDRESS(ROW(AT43), MATCH("Shares_AAPL", pos_header,0))): INDIRECT(ADDRESS(ROW(AT43), MATCH("Shares_Holding", pos_header,0)-1)))</f>
        <v>33334.53</v>
      </c>
      <c r="AU43" s="135">
        <v>47299.02</v>
      </c>
      <c r="AV43" s="11">
        <f>SUMIFS(tbl_transaction[Net_Debt_Change], tbl_transaction[Transaction_Date],tbl_position[[#This Row],[Date]])+IF(tbl_position[[#This Row],[Date]]=$A$5, 0, $AV42)</f>
        <v>-4874.1000000000004</v>
      </c>
      <c r="AW43" s="48">
        <f ca="1">tbl_position[[#This Row],[Shares_Holding]]+tbl_position[[#This Row],[Cash_Holding]]-tbl_position[[#This Row],[Liabilities_Holding]]</f>
        <v>85507.65</v>
      </c>
      <c r="AX43" s="48">
        <v>89551.54</v>
      </c>
    </row>
    <row r="44" spans="1:50" x14ac:dyDescent="0.35">
      <c r="A44" s="9">
        <v>44139</v>
      </c>
      <c r="B44" s="10">
        <f>VLOOKUP(tbl_position[[#This Row],[Date]], tbl_AAPL[], 5, 0)</f>
        <v>114.95</v>
      </c>
      <c r="C44" s="127">
        <f>VLOOKUP(tbl_position[[#This Row],[Date]], tbl_RIOT[], 5, 0)</f>
        <v>3.55</v>
      </c>
      <c r="D44" s="10">
        <f>VLOOKUP(tbl_position[[#This Row],[Date]], tbl_HD[], 5, 0)</f>
        <v>282.72000000000003</v>
      </c>
      <c r="E44" s="127">
        <f>VLOOKUP(tbl_position[[#This Row],[Date]], tbl_WMT[], 5, 0)</f>
        <v>141.96</v>
      </c>
      <c r="F44" s="127">
        <f>VLOOKUP(tbl_position[[#This Row],[Date]], tbl_IBM[], 5, 0)</f>
        <v>111.9</v>
      </c>
      <c r="G44" s="127">
        <f>VLOOKUP(tbl_position[[#This Row],[Date]], tbl_ORCL[], 5, 0)</f>
        <v>56.49</v>
      </c>
      <c r="H44" s="135">
        <f>VLOOKUP(tbl_position[[#This Row],[Date]], tbl_AKRO[], 5, 0)</f>
        <v>28.7</v>
      </c>
      <c r="I44" s="135">
        <f>VLOOKUP(tbl_position[[#This Row],[Date]], tbl_FDX[], 5, 0)</f>
        <v>269.10000000000002</v>
      </c>
      <c r="J44" s="135">
        <f>VLOOKUP(tbl_position[[#This Row],[Date]], tbl_NKLA[], 5, 0)</f>
        <v>18.46</v>
      </c>
      <c r="K44" s="135">
        <f>VLOOKUP(tbl_position[[#This Row],[Date]], tbl_SPXS[], 5, 0)</f>
        <v>5.2</v>
      </c>
      <c r="L44" s="135">
        <f>VLOOKUP(tbl_position[[#This Row],[Date]], tbl_AMD[], 5, 0)</f>
        <v>81.349999999999994</v>
      </c>
      <c r="M44" s="135">
        <f>VLOOKUP(tbl_position[[#This Row],[Date]], tbl_CVX[], 5, 0)</f>
        <v>71.77</v>
      </c>
      <c r="N44" s="135">
        <f>VLOOKUP(tbl_position[[#This Row],[Date]], tbl_QCOM[], 5, 0)</f>
        <v>128.97</v>
      </c>
      <c r="O44" s="135">
        <f>VLOOKUP(tbl_position[[#This Row],[Date]], tbl_F[], 5, 0)</f>
        <v>7.64</v>
      </c>
      <c r="P44" s="127">
        <f>VLOOKUP(tbl_position[[#This Row],[Date]], tbl_LTHM[], 5, 0)</f>
        <v>11.16</v>
      </c>
      <c r="Q44" s="127">
        <f>VLOOKUP(tbl_position[[#This Row],[Date]], tbl_RCL[], 5, 0)</f>
        <v>56.98</v>
      </c>
      <c r="R44" s="127">
        <f>VLOOKUP(tbl_position[[#This Row],[Date]], tbl_OIL[], 5, 0)</f>
        <v>11.69</v>
      </c>
      <c r="S44" s="127">
        <f>VLOOKUP(tbl_position[[#This Row],[Date]], tbl_VIXY[], 5, 0)</f>
        <v>18.37</v>
      </c>
      <c r="T44" s="127">
        <f>VLOOKUP(tbl_position[[#This Row],[Date]], tbl_LLNW[], 5, 0)</f>
        <v>3.72</v>
      </c>
      <c r="U44" s="127">
        <f>VLOOKUP(tbl_position[[#This Row],[Date]], tbl_PLL[], 5, 0)</f>
        <v>22.45</v>
      </c>
      <c r="V44" s="127"/>
      <c r="W44" s="127"/>
      <c r="X4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$X43)</f>
        <v>0</v>
      </c>
      <c r="Y4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$Y43)</f>
        <v>0</v>
      </c>
      <c r="Z4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$Z43)</f>
        <v>0</v>
      </c>
      <c r="AA4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$AA43)</f>
        <v>0</v>
      </c>
      <c r="AB4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$AB43)</f>
        <v>0</v>
      </c>
      <c r="AC4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$AC43)</f>
        <v>0</v>
      </c>
      <c r="AD4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$AD43)</f>
        <v>0</v>
      </c>
      <c r="AE4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$AE43)</f>
        <v>0</v>
      </c>
      <c r="AF4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$AF43)</f>
        <v>0</v>
      </c>
      <c r="AG4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$AG43)</f>
        <v>0</v>
      </c>
      <c r="AH4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$AH43)</f>
        <v>150</v>
      </c>
      <c r="AI4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$AI43)</f>
        <v>0</v>
      </c>
      <c r="AJ4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$AJ43)</f>
        <v>0</v>
      </c>
      <c r="AK4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$AK43)</f>
        <v>0</v>
      </c>
      <c r="AL4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$AL43)</f>
        <v>1501</v>
      </c>
      <c r="AM44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$AM43)</f>
        <v>235</v>
      </c>
      <c r="AN44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$AN43)</f>
        <v>0</v>
      </c>
      <c r="AO44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$AO43)</f>
        <v>-450</v>
      </c>
      <c r="AP44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$AP43)</f>
        <v>3770</v>
      </c>
      <c r="AQ44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$AQ43)</f>
        <v>1000</v>
      </c>
      <c r="AR44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$AR43)</f>
        <v>0</v>
      </c>
      <c r="AS44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$AS43)</f>
        <v>0</v>
      </c>
      <c r="AT44" s="10">
        <f ca="1" xml:space="preserve"> SUMPRODUCT(INDIRECT(ADDRESS(ROW(AT44), 2)):INDIRECT(ADDRESS(ROW(AT44), MATCH("Shares_AAPL", pos_header,0)-1)), INDIRECT(ADDRESS(ROW(AT44), MATCH("Shares_AAPL", pos_header,0))): INDIRECT(ADDRESS(ROW(AT44), MATCH("Shares_Holding", pos_header,0)-1)))</f>
        <v>70551.86</v>
      </c>
      <c r="AU44" s="135">
        <v>47255.839999999997</v>
      </c>
      <c r="AV44" s="11">
        <f>SUMIFS(tbl_transaction[Net_Debt_Change], tbl_transaction[Transaction_Date],tbl_position[[#This Row],[Date]])+IF(tbl_position[[#This Row],[Date]]=$A$5, 0, $AV43)</f>
        <v>-4874.1000000000004</v>
      </c>
      <c r="AW44" s="48">
        <f ca="1">tbl_position[[#This Row],[Shares_Holding]]+tbl_position[[#This Row],[Cash_Holding]]-tbl_position[[#This Row],[Liabilities_Holding]]</f>
        <v>122681.8</v>
      </c>
      <c r="AX44" s="48">
        <v>89643.51</v>
      </c>
    </row>
    <row r="45" spans="1:50" x14ac:dyDescent="0.35">
      <c r="A45" s="9">
        <v>44140</v>
      </c>
      <c r="B45" s="10">
        <f>VLOOKUP(tbl_position[[#This Row],[Date]], tbl_AAPL[], 5, 0)</f>
        <v>119.03</v>
      </c>
      <c r="C45" s="127">
        <f>VLOOKUP(tbl_position[[#This Row],[Date]], tbl_RIOT[], 5, 0)</f>
        <v>3.75</v>
      </c>
      <c r="D45" s="10">
        <f>VLOOKUP(tbl_position[[#This Row],[Date]], tbl_HD[], 5, 0)</f>
        <v>285.85000000000002</v>
      </c>
      <c r="E45" s="127">
        <f>VLOOKUP(tbl_position[[#This Row],[Date]], tbl_WMT[], 5, 0)</f>
        <v>143.47</v>
      </c>
      <c r="F45" s="127">
        <f>VLOOKUP(tbl_position[[#This Row],[Date]], tbl_IBM[], 5, 0)</f>
        <v>114.77</v>
      </c>
      <c r="G45" s="127">
        <f>VLOOKUP(tbl_position[[#This Row],[Date]], tbl_ORCL[], 5, 0)</f>
        <v>56.66</v>
      </c>
      <c r="H45" s="135">
        <f>VLOOKUP(tbl_position[[#This Row],[Date]], tbl_AKRO[], 5, 0)</f>
        <v>29.05</v>
      </c>
      <c r="I45" s="135">
        <f>VLOOKUP(tbl_position[[#This Row],[Date]], tbl_FDX[], 5, 0)</f>
        <v>279.07</v>
      </c>
      <c r="J45" s="135">
        <f>VLOOKUP(tbl_position[[#This Row],[Date]], tbl_NKLA[], 5, 0)</f>
        <v>19.95</v>
      </c>
      <c r="K45" s="135">
        <f>VLOOKUP(tbl_position[[#This Row],[Date]], tbl_SPXS[], 5, 0)</f>
        <v>4.88</v>
      </c>
      <c r="L45" s="135">
        <f>VLOOKUP(tbl_position[[#This Row],[Date]], tbl_AMD[], 5, 0)</f>
        <v>83</v>
      </c>
      <c r="M45" s="135">
        <f>VLOOKUP(tbl_position[[#This Row],[Date]], tbl_CVX[], 5, 0)</f>
        <v>72.14</v>
      </c>
      <c r="N45" s="135">
        <f>VLOOKUP(tbl_position[[#This Row],[Date]], tbl_QCOM[], 5, 0)</f>
        <v>145.41</v>
      </c>
      <c r="O45" s="135">
        <f>VLOOKUP(tbl_position[[#This Row],[Date]], tbl_F[], 5, 0)</f>
        <v>7.99</v>
      </c>
      <c r="P45" s="127">
        <f>VLOOKUP(tbl_position[[#This Row],[Date]], tbl_LTHM[], 5, 0)</f>
        <v>11.85</v>
      </c>
      <c r="Q45" s="127">
        <f>VLOOKUP(tbl_position[[#This Row],[Date]], tbl_RCL[], 5, 0)</f>
        <v>60.17</v>
      </c>
      <c r="R45" s="127">
        <f>VLOOKUP(tbl_position[[#This Row],[Date]], tbl_OIL[], 5, 0)</f>
        <v>11.58</v>
      </c>
      <c r="S45" s="127">
        <f>VLOOKUP(tbl_position[[#This Row],[Date]], tbl_VIXY[], 5, 0)</f>
        <v>18.02</v>
      </c>
      <c r="T45" s="127">
        <f>VLOOKUP(tbl_position[[#This Row],[Date]], tbl_LLNW[], 5, 0)</f>
        <v>3.97</v>
      </c>
      <c r="U45" s="127">
        <f>VLOOKUP(tbl_position[[#This Row],[Date]], tbl_PLL[], 5, 0)</f>
        <v>24.3</v>
      </c>
      <c r="V45" s="127"/>
      <c r="W45" s="127"/>
      <c r="X4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$X44)</f>
        <v>0</v>
      </c>
      <c r="Y4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$Y44)</f>
        <v>0</v>
      </c>
      <c r="Z4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$Z44)</f>
        <v>0</v>
      </c>
      <c r="AA4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$AA44)</f>
        <v>0</v>
      </c>
      <c r="AB4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$AB44)</f>
        <v>0</v>
      </c>
      <c r="AC4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$AC44)</f>
        <v>0</v>
      </c>
      <c r="AD4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$AD44)</f>
        <v>0</v>
      </c>
      <c r="AE4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$AE44)</f>
        <v>0</v>
      </c>
      <c r="AF4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$AF44)</f>
        <v>0</v>
      </c>
      <c r="AG4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$AG44)</f>
        <v>0</v>
      </c>
      <c r="AH4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$AH44)</f>
        <v>150</v>
      </c>
      <c r="AI4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$AI44)</f>
        <v>0</v>
      </c>
      <c r="AJ4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$AJ44)</f>
        <v>0</v>
      </c>
      <c r="AK4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$AK44)</f>
        <v>0</v>
      </c>
      <c r="AL4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$AL44)</f>
        <v>1501</v>
      </c>
      <c r="AM45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$AM44)</f>
        <v>235</v>
      </c>
      <c r="AN45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$AN44)</f>
        <v>0</v>
      </c>
      <c r="AO45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$AO44)</f>
        <v>-450</v>
      </c>
      <c r="AP45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$AP44)</f>
        <v>3770</v>
      </c>
      <c r="AQ45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$AQ44)</f>
        <v>1000</v>
      </c>
      <c r="AR45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$AR44)</f>
        <v>0</v>
      </c>
      <c r="AS45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$AS44)</f>
        <v>0</v>
      </c>
      <c r="AT45" s="10">
        <f ca="1" xml:space="preserve"> SUMPRODUCT(INDIRECT(ADDRESS(ROW(AT45), 2)):INDIRECT(ADDRESS(ROW(AT45), MATCH("Shares_AAPL", pos_header,0)-1)), INDIRECT(ADDRESS(ROW(AT45), MATCH("Shares_AAPL", pos_header,0))): INDIRECT(ADDRESS(ROW(AT45), MATCH("Shares_Holding", pos_header,0)-1)))</f>
        <v>75534.700000000012</v>
      </c>
      <c r="AU45" s="135">
        <v>7783.74</v>
      </c>
      <c r="AV45" s="11">
        <f>SUMIFS(tbl_transaction[Net_Debt_Change], tbl_transaction[Transaction_Date],tbl_position[[#This Row],[Date]])+IF(tbl_position[[#This Row],[Date]]=$A$5, 0, $AV44)</f>
        <v>-4874.1000000000004</v>
      </c>
      <c r="AW45" s="48">
        <f ca="1">tbl_position[[#This Row],[Shares_Holding]]+tbl_position[[#This Row],[Cash_Holding]]-tbl_position[[#This Row],[Liabilities_Holding]]</f>
        <v>88192.540000000023</v>
      </c>
      <c r="AX45" s="48">
        <v>91214.95</v>
      </c>
    </row>
    <row r="46" spans="1:50" x14ac:dyDescent="0.35">
      <c r="A46" s="9">
        <v>44141</v>
      </c>
      <c r="B46" s="10">
        <f>VLOOKUP(tbl_position[[#This Row],[Date]], tbl_AAPL[], 5, 0)</f>
        <v>118.69</v>
      </c>
      <c r="C46" s="127">
        <f>VLOOKUP(tbl_position[[#This Row],[Date]], tbl_RIOT[], 5, 0)</f>
        <v>3.65</v>
      </c>
      <c r="D46" s="10">
        <f>VLOOKUP(tbl_position[[#This Row],[Date]], tbl_HD[], 5, 0)</f>
        <v>284.24</v>
      </c>
      <c r="E46" s="127">
        <f>VLOOKUP(tbl_position[[#This Row],[Date]], tbl_WMT[], 5, 0)</f>
        <v>145.77000000000001</v>
      </c>
      <c r="F46" s="127">
        <f>VLOOKUP(tbl_position[[#This Row],[Date]], tbl_IBM[], 5, 0)</f>
        <v>114.04</v>
      </c>
      <c r="G46" s="127">
        <f>VLOOKUP(tbl_position[[#This Row],[Date]], tbl_ORCL[], 5, 0)</f>
        <v>56.8</v>
      </c>
      <c r="H46" s="135">
        <f>VLOOKUP(tbl_position[[#This Row],[Date]], tbl_AKRO[], 5, 0)</f>
        <v>28.85</v>
      </c>
      <c r="I46" s="135">
        <f>VLOOKUP(tbl_position[[#This Row],[Date]], tbl_FDX[], 5, 0)</f>
        <v>279.77</v>
      </c>
      <c r="J46" s="135">
        <f>VLOOKUP(tbl_position[[#This Row],[Date]], tbl_NKLA[], 5, 0)</f>
        <v>19.579999999999998</v>
      </c>
      <c r="K46" s="135">
        <f>VLOOKUP(tbl_position[[#This Row],[Date]], tbl_SPXS[], 5, 0)</f>
        <v>4.88</v>
      </c>
      <c r="L46" s="135">
        <f>VLOOKUP(tbl_position[[#This Row],[Date]], tbl_AMD[], 5, 0)</f>
        <v>85.88</v>
      </c>
      <c r="M46" s="135">
        <f>VLOOKUP(tbl_position[[#This Row],[Date]], tbl_CVX[], 5, 0)</f>
        <v>71.150000000000006</v>
      </c>
      <c r="N46" s="135">
        <f>VLOOKUP(tbl_position[[#This Row],[Date]], tbl_QCOM[], 5, 0)</f>
        <v>145.01</v>
      </c>
      <c r="O46" s="135">
        <f>VLOOKUP(tbl_position[[#This Row],[Date]], tbl_F[], 5, 0)</f>
        <v>7.79</v>
      </c>
      <c r="P46" s="127">
        <f>VLOOKUP(tbl_position[[#This Row],[Date]], tbl_LTHM[], 5, 0)</f>
        <v>13.65</v>
      </c>
      <c r="Q46" s="127">
        <f>VLOOKUP(tbl_position[[#This Row],[Date]], tbl_RCL[], 5, 0)</f>
        <v>58.57</v>
      </c>
      <c r="R46" s="127">
        <f>VLOOKUP(tbl_position[[#This Row],[Date]], tbl_OIL[], 5, 0)</f>
        <v>11.27</v>
      </c>
      <c r="S46" s="127">
        <f>VLOOKUP(tbl_position[[#This Row],[Date]], tbl_VIXY[], 5, 0)</f>
        <v>16.850000000000001</v>
      </c>
      <c r="T46" s="127">
        <f>VLOOKUP(tbl_position[[#This Row],[Date]], tbl_LLNW[], 5, 0)</f>
        <v>3.99</v>
      </c>
      <c r="U46" s="127">
        <f>VLOOKUP(tbl_position[[#This Row],[Date]], tbl_PLL[], 5, 0)</f>
        <v>22.51</v>
      </c>
      <c r="V46" s="127">
        <f>VLOOKUP(tbl_position[[#This Row],[Date]], tbl_APHA[], 5, 0)</f>
        <v>5.5</v>
      </c>
      <c r="W46" s="127">
        <f>VLOOKUP(tbl_position[[#This Row],[Date]], tbl_BEP[], 5, 0)</f>
        <v>59.11</v>
      </c>
      <c r="X4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$X45)</f>
        <v>0</v>
      </c>
      <c r="Y4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$Y45)</f>
        <v>0</v>
      </c>
      <c r="Z4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$Z45)</f>
        <v>0</v>
      </c>
      <c r="AA4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$AA45)</f>
        <v>0</v>
      </c>
      <c r="AB4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$AB45)</f>
        <v>0</v>
      </c>
      <c r="AC4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$AC45)</f>
        <v>0</v>
      </c>
      <c r="AD4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$AD45)</f>
        <v>0</v>
      </c>
      <c r="AE4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$AE45)</f>
        <v>0</v>
      </c>
      <c r="AF4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$AF45)</f>
        <v>0</v>
      </c>
      <c r="AG4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$AG45)</f>
        <v>4075</v>
      </c>
      <c r="AH4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$AH45)</f>
        <v>150</v>
      </c>
      <c r="AI4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$AI45)</f>
        <v>0</v>
      </c>
      <c r="AJ4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$AJ45)</f>
        <v>0</v>
      </c>
      <c r="AK4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$AK45)</f>
        <v>0</v>
      </c>
      <c r="AL4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$AL45)</f>
        <v>0</v>
      </c>
      <c r="AM46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$AM45)</f>
        <v>0</v>
      </c>
      <c r="AN46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$AN45)</f>
        <v>0</v>
      </c>
      <c r="AO46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$AO45)</f>
        <v>-450</v>
      </c>
      <c r="AP46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$AP45)</f>
        <v>3770</v>
      </c>
      <c r="AQ46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$AQ45)</f>
        <v>1000</v>
      </c>
      <c r="AR46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$AR45)</f>
        <v>2500</v>
      </c>
      <c r="AS46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$AS45)</f>
        <v>200</v>
      </c>
      <c r="AT46" s="10">
        <f ca="1" xml:space="preserve"> SUMPRODUCT(INDIRECT(ADDRESS(ROW(AT46), 2)):INDIRECT(ADDRESS(ROW(AT46), MATCH("Shares_AAPL", pos_header,0)-1)), INDIRECT(ADDRESS(ROW(AT46), MATCH("Shares_AAPL", pos_header,0))): INDIRECT(ADDRESS(ROW(AT46), MATCH("Shares_Holding", pos_header,0)-1)))</f>
        <v>88309.8</v>
      </c>
      <c r="AU46" s="135">
        <v>0</v>
      </c>
      <c r="AV46" s="11">
        <f>SUMIFS(tbl_transaction[Net_Debt_Change], tbl_transaction[Transaction_Date],tbl_position[[#This Row],[Date]])+IF(tbl_position[[#This Row],[Date]]=$A$5, 0, $AV45)</f>
        <v>-4874.1000000000004</v>
      </c>
      <c r="AW46" s="48">
        <f ca="1">tbl_position[[#This Row],[Shares_Holding]]+tbl_position[[#This Row],[Cash_Holding]]-tbl_position[[#This Row],[Liabilities_Holding]]</f>
        <v>93183.900000000009</v>
      </c>
      <c r="AX46" s="48">
        <v>90385.51</v>
      </c>
    </row>
    <row r="47" spans="1:50" x14ac:dyDescent="0.35">
      <c r="A47" s="9">
        <v>44144</v>
      </c>
      <c r="B47" s="10">
        <f>VLOOKUP(tbl_position[[#This Row],[Date]], tbl_AAPL[], 5, 0)</f>
        <v>116.32</v>
      </c>
      <c r="C47" s="127">
        <f>VLOOKUP(tbl_position[[#This Row],[Date]], tbl_RIOT[], 5, 0)</f>
        <v>3.5</v>
      </c>
      <c r="D47" s="10">
        <f>VLOOKUP(tbl_position[[#This Row],[Date]], tbl_HD[], 5, 0)</f>
        <v>269.97000000000003</v>
      </c>
      <c r="E47" s="127">
        <f>VLOOKUP(tbl_position[[#This Row],[Date]], tbl_WMT[], 5, 0)</f>
        <v>143.54</v>
      </c>
      <c r="F47" s="127">
        <f>VLOOKUP(tbl_position[[#This Row],[Date]], tbl_IBM[], 5, 0)</f>
        <v>115.53</v>
      </c>
      <c r="G47" s="127">
        <f>VLOOKUP(tbl_position[[#This Row],[Date]], tbl_ORCL[], 5, 0)</f>
        <v>56.84</v>
      </c>
      <c r="H47" s="135">
        <f>VLOOKUP(tbl_position[[#This Row],[Date]], tbl_AKRO[], 5, 0)</f>
        <v>29.18</v>
      </c>
      <c r="I47" s="135">
        <f>VLOOKUP(tbl_position[[#This Row],[Date]], tbl_FDX[], 5, 0)</f>
        <v>263.88</v>
      </c>
      <c r="J47" s="135">
        <f>VLOOKUP(tbl_position[[#This Row],[Date]], tbl_NKLA[], 5, 0)</f>
        <v>18.63</v>
      </c>
      <c r="K47" s="135">
        <f>VLOOKUP(tbl_position[[#This Row],[Date]], tbl_SPXS[], 5, 0)</f>
        <v>4.71</v>
      </c>
      <c r="L47" s="135">
        <f>VLOOKUP(tbl_position[[#This Row],[Date]], tbl_AMD[], 5, 0)</f>
        <v>83.12</v>
      </c>
      <c r="M47" s="135">
        <f>VLOOKUP(tbl_position[[#This Row],[Date]], tbl_CVX[], 5, 0)</f>
        <v>79.400000000000006</v>
      </c>
      <c r="N47" s="135">
        <f>VLOOKUP(tbl_position[[#This Row],[Date]], tbl_QCOM[], 5, 0)</f>
        <v>142.61000000000001</v>
      </c>
      <c r="O47" s="135">
        <f>VLOOKUP(tbl_position[[#This Row],[Date]], tbl_F[], 5, 0)</f>
        <v>8.1999999999999993</v>
      </c>
      <c r="P47" s="127">
        <f>VLOOKUP(tbl_position[[#This Row],[Date]], tbl_LTHM[], 5, 0)</f>
        <v>13.59</v>
      </c>
      <c r="Q47" s="127">
        <f>VLOOKUP(tbl_position[[#This Row],[Date]], tbl_RCL[], 5, 0)</f>
        <v>75.430000000000007</v>
      </c>
      <c r="R47" s="127">
        <f>VLOOKUP(tbl_position[[#This Row],[Date]], tbl_OIL[], 5, 0)</f>
        <v>12</v>
      </c>
      <c r="S47" s="127">
        <f>VLOOKUP(tbl_position[[#This Row],[Date]], tbl_VIXY[], 5, 0)</f>
        <v>16.47</v>
      </c>
      <c r="T47" s="127">
        <f>VLOOKUP(tbl_position[[#This Row],[Date]], tbl_LLNW[], 5, 0)</f>
        <v>3.93</v>
      </c>
      <c r="U47" s="127">
        <f>VLOOKUP(tbl_position[[#This Row],[Date]], tbl_PLL[], 5, 0)</f>
        <v>22.81</v>
      </c>
      <c r="V47" s="127">
        <f>VLOOKUP(tbl_position[[#This Row],[Date]], tbl_APHA[], 5, 0)</f>
        <v>5.54</v>
      </c>
      <c r="W47" s="127">
        <f>VLOOKUP(tbl_position[[#This Row],[Date]], tbl_BEP[], 5, 0)</f>
        <v>59.73</v>
      </c>
      <c r="X4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$X46)</f>
        <v>0</v>
      </c>
      <c r="Y4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$Y46)</f>
        <v>0</v>
      </c>
      <c r="Z4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$Z46)</f>
        <v>0</v>
      </c>
      <c r="AA4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$AA46)</f>
        <v>0</v>
      </c>
      <c r="AB4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$AB46)</f>
        <v>0</v>
      </c>
      <c r="AC4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$AC46)</f>
        <v>0</v>
      </c>
      <c r="AD4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$AD46)</f>
        <v>0</v>
      </c>
      <c r="AE4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$AE46)</f>
        <v>0</v>
      </c>
      <c r="AF4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$AF46)</f>
        <v>0</v>
      </c>
      <c r="AG4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$AG46)</f>
        <v>4075</v>
      </c>
      <c r="AH4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$AH46)</f>
        <v>150</v>
      </c>
      <c r="AI4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$AI46)</f>
        <v>0</v>
      </c>
      <c r="AJ4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$AJ46)</f>
        <v>0</v>
      </c>
      <c r="AK4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$AK46)</f>
        <v>0</v>
      </c>
      <c r="AL4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$AL46)</f>
        <v>0</v>
      </c>
      <c r="AM47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$AM46)</f>
        <v>0</v>
      </c>
      <c r="AN47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$AN46)</f>
        <v>0</v>
      </c>
      <c r="AO47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$AO46)</f>
        <v>-450</v>
      </c>
      <c r="AP47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$AP46)</f>
        <v>3770</v>
      </c>
      <c r="AQ47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$AQ46)</f>
        <v>1000</v>
      </c>
      <c r="AR47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$AR46)</f>
        <v>2500</v>
      </c>
      <c r="AS47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$AS46)</f>
        <v>200</v>
      </c>
      <c r="AT47" s="10">
        <f ca="1" xml:space="preserve"> SUMPRODUCT(INDIRECT(ADDRESS(ROW(AT47), 2)):INDIRECT(ADDRESS(ROW(AT47), MATCH("Shares_AAPL", pos_header,0)-1)), INDIRECT(ADDRESS(ROW(AT47), MATCH("Shares_AAPL", pos_header,0))): INDIRECT(ADDRESS(ROW(AT47), MATCH("Shares_Holding", pos_header,0)-1)))</f>
        <v>87671.85</v>
      </c>
      <c r="AU47" s="135">
        <f>SUMIFS(tbl_transaction[Net_Cash_Change], tbl_transaction[Transaction_Date],tbl_position[[#This Row],[Date]])+IF(tbl_position[[#This Row],[Date]]=$A$5, 100000, $AU46)</f>
        <v>0</v>
      </c>
      <c r="AV47" s="11">
        <f>SUMIFS(tbl_transaction[Net_Debt_Change], tbl_transaction[Transaction_Date],tbl_position[[#This Row],[Date]])+IF(tbl_position[[#This Row],[Date]]=$A$5, 0, $AV46)</f>
        <v>-4874.1000000000004</v>
      </c>
      <c r="AW47" s="48">
        <f ca="1">tbl_position[[#This Row],[Shares_Holding]]+tbl_position[[#This Row],[Cash_Holding]]-tbl_position[[#This Row],[Liabilities_Holding]]</f>
        <v>92545.950000000012</v>
      </c>
      <c r="AX47" s="48">
        <v>89560.19</v>
      </c>
    </row>
    <row r="48" spans="1:50" x14ac:dyDescent="0.35">
      <c r="A48" s="9">
        <v>44145</v>
      </c>
      <c r="B48" s="10">
        <f>VLOOKUP(tbl_position[[#This Row],[Date]], tbl_AAPL[], 5, 0)</f>
        <v>115.97</v>
      </c>
      <c r="C48" s="127">
        <f>VLOOKUP(tbl_position[[#This Row],[Date]], tbl_RIOT[], 5, 0)</f>
        <v>3.45</v>
      </c>
      <c r="D48" s="10">
        <f>VLOOKUP(tbl_position[[#This Row],[Date]], tbl_HD[], 5, 0)</f>
        <v>275.57</v>
      </c>
      <c r="E48" s="127">
        <f>VLOOKUP(tbl_position[[#This Row],[Date]], tbl_WMT[], 5, 0)</f>
        <v>145.56</v>
      </c>
      <c r="F48" s="127">
        <f>VLOOKUP(tbl_position[[#This Row],[Date]], tbl_IBM[], 5, 0)</f>
        <v>117.91</v>
      </c>
      <c r="G48" s="127">
        <f>VLOOKUP(tbl_position[[#This Row],[Date]], tbl_ORCL[], 5, 0)</f>
        <v>56.67</v>
      </c>
      <c r="H48" s="135">
        <f>VLOOKUP(tbl_position[[#This Row],[Date]], tbl_AKRO[], 5, 0)</f>
        <v>29.11</v>
      </c>
      <c r="I48" s="135">
        <f>VLOOKUP(tbl_position[[#This Row],[Date]], tbl_FDX[], 5, 0)</f>
        <v>267.27</v>
      </c>
      <c r="J48" s="135">
        <f>VLOOKUP(tbl_position[[#This Row],[Date]], tbl_NKLA[], 5, 0)</f>
        <v>18.03</v>
      </c>
      <c r="K48" s="135">
        <f>VLOOKUP(tbl_position[[#This Row],[Date]], tbl_SPXS[], 5, 0)</f>
        <v>4.72</v>
      </c>
      <c r="L48" s="135">
        <f>VLOOKUP(tbl_position[[#This Row],[Date]], tbl_AMD[], 5, 0)</f>
        <v>77.989999999999995</v>
      </c>
      <c r="M48" s="135">
        <f>VLOOKUP(tbl_position[[#This Row],[Date]], tbl_CVX[], 5, 0)</f>
        <v>83.07</v>
      </c>
      <c r="N48" s="135">
        <f>VLOOKUP(tbl_position[[#This Row],[Date]], tbl_QCOM[], 5, 0)</f>
        <v>140.11000000000001</v>
      </c>
      <c r="O48" s="135">
        <f>VLOOKUP(tbl_position[[#This Row],[Date]], tbl_F[], 5, 0)</f>
        <v>8.3800000000000008</v>
      </c>
      <c r="P48" s="127">
        <f>VLOOKUP(tbl_position[[#This Row],[Date]], tbl_LTHM[], 5, 0)</f>
        <v>13.05</v>
      </c>
      <c r="Q48" s="127">
        <f>VLOOKUP(tbl_position[[#This Row],[Date]], tbl_RCL[], 5, 0)</f>
        <v>73.73</v>
      </c>
      <c r="R48" s="127">
        <f>VLOOKUP(tbl_position[[#This Row],[Date]], tbl_OIL[], 5, 0)</f>
        <v>12.35</v>
      </c>
      <c r="S48" s="127">
        <f>VLOOKUP(tbl_position[[#This Row],[Date]], tbl_VIXY[], 5, 0)</f>
        <v>15.94</v>
      </c>
      <c r="T48" s="127">
        <f>VLOOKUP(tbl_position[[#This Row],[Date]], tbl_LLNW[], 5, 0)</f>
        <v>3.82</v>
      </c>
      <c r="U48" s="127">
        <f>VLOOKUP(tbl_position[[#This Row],[Date]], tbl_PLL[], 5, 0)</f>
        <v>23.78</v>
      </c>
      <c r="V48" s="127">
        <f>VLOOKUP(tbl_position[[#This Row],[Date]], tbl_APHA[], 5, 0)</f>
        <v>5.53</v>
      </c>
      <c r="W48" s="127">
        <f>VLOOKUP(tbl_position[[#This Row],[Date]], tbl_BEP[], 5, 0)</f>
        <v>57.37</v>
      </c>
      <c r="X4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$X47)</f>
        <v>0</v>
      </c>
      <c r="Y4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$Y47)</f>
        <v>0</v>
      </c>
      <c r="Z4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$Z47)</f>
        <v>0</v>
      </c>
      <c r="AA4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$AA47)</f>
        <v>0</v>
      </c>
      <c r="AB4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$AB47)</f>
        <v>0</v>
      </c>
      <c r="AC4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$AC47)</f>
        <v>0</v>
      </c>
      <c r="AD4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$AD47)</f>
        <v>0</v>
      </c>
      <c r="AE4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$AE47)</f>
        <v>0</v>
      </c>
      <c r="AF4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$AF47)</f>
        <v>0</v>
      </c>
      <c r="AG4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$AG47)</f>
        <v>4075</v>
      </c>
      <c r="AH4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$AH47)</f>
        <v>150</v>
      </c>
      <c r="AI4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$AI47)</f>
        <v>0</v>
      </c>
      <c r="AJ4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$AJ47)</f>
        <v>0</v>
      </c>
      <c r="AK4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$AK47)</f>
        <v>0</v>
      </c>
      <c r="AL4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$AL47)</f>
        <v>0</v>
      </c>
      <c r="AM48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$AM47)</f>
        <v>0</v>
      </c>
      <c r="AN48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$AN47)</f>
        <v>0</v>
      </c>
      <c r="AO48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$AO47)</f>
        <v>-450</v>
      </c>
      <c r="AP48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$AP47)</f>
        <v>3770</v>
      </c>
      <c r="AQ48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$AQ47)</f>
        <v>1000</v>
      </c>
      <c r="AR48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$AR47)</f>
        <v>2500</v>
      </c>
      <c r="AS48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$AS47)</f>
        <v>200</v>
      </c>
      <c r="AT48" s="10">
        <f ca="1" xml:space="preserve"> SUMPRODUCT(INDIRECT(ADDRESS(ROW(AT48), 2)):INDIRECT(ADDRESS(ROW(AT48), MATCH("Shares_AAPL", pos_header,0)-1)), INDIRECT(ADDRESS(ROW(AT48), MATCH("Shares_AAPL", pos_header,0))): INDIRECT(ADDRESS(ROW(AT48), MATCH("Shares_Holding", pos_header,0)-1)))</f>
        <v>87239.9</v>
      </c>
      <c r="AU48" s="135">
        <f>SUMIFS(tbl_transaction[Net_Cash_Change], tbl_transaction[Transaction_Date],tbl_position[[#This Row],[Date]])+IF(tbl_position[[#This Row],[Date]]=$A$5, 100000, $AU47)</f>
        <v>0</v>
      </c>
      <c r="AV48" s="11">
        <f>SUMIFS(tbl_transaction[Net_Debt_Change], tbl_transaction[Transaction_Date],tbl_position[[#This Row],[Date]])+IF(tbl_position[[#This Row],[Date]]=$A$5, 0, $AV47)</f>
        <v>-4874.1000000000004</v>
      </c>
      <c r="AW48" s="48">
        <f ca="1">tbl_position[[#This Row],[Shares_Holding]]+tbl_position[[#This Row],[Cash_Holding]]-tbl_position[[#This Row],[Liabilities_Holding]]</f>
        <v>92114</v>
      </c>
      <c r="AX48" s="48">
        <v>88883.74</v>
      </c>
    </row>
    <row r="49" spans="1:50" x14ac:dyDescent="0.35">
      <c r="A49" s="9">
        <v>44146</v>
      </c>
      <c r="B49" s="10">
        <f>VLOOKUP(tbl_position[[#This Row],[Date]], tbl_AAPL[], 5, 0)</f>
        <v>119.49</v>
      </c>
      <c r="C49" s="127">
        <f>VLOOKUP(tbl_position[[#This Row],[Date]], tbl_RIOT[], 5, 0)</f>
        <v>3.6</v>
      </c>
      <c r="D49" s="10">
        <f>VLOOKUP(tbl_position[[#This Row],[Date]], tbl_HD[], 5, 0)</f>
        <v>277.75</v>
      </c>
      <c r="E49" s="127">
        <f>VLOOKUP(tbl_position[[#This Row],[Date]], tbl_WMT[], 5, 0)</f>
        <v>147.97999999999999</v>
      </c>
      <c r="F49" s="127">
        <f>VLOOKUP(tbl_position[[#This Row],[Date]], tbl_IBM[], 5, 0)</f>
        <v>117.2</v>
      </c>
      <c r="G49" s="127">
        <f>VLOOKUP(tbl_position[[#This Row],[Date]], tbl_ORCL[], 5, 0)</f>
        <v>57.2</v>
      </c>
      <c r="H49" s="135">
        <f>VLOOKUP(tbl_position[[#This Row],[Date]], tbl_AKRO[], 5, 0)</f>
        <v>28.77</v>
      </c>
      <c r="I49" s="135">
        <f>VLOOKUP(tbl_position[[#This Row],[Date]], tbl_FDX[], 5, 0)</f>
        <v>267.81</v>
      </c>
      <c r="J49" s="135">
        <f>VLOOKUP(tbl_position[[#This Row],[Date]], tbl_NKLA[], 5, 0)</f>
        <v>20.18</v>
      </c>
      <c r="K49" s="135">
        <f>VLOOKUP(tbl_position[[#This Row],[Date]], tbl_SPXS[], 5, 0)</f>
        <v>4.63</v>
      </c>
      <c r="L49" s="135">
        <f>VLOOKUP(tbl_position[[#This Row],[Date]], tbl_AMD[], 5, 0)</f>
        <v>81.28</v>
      </c>
      <c r="M49" s="135">
        <f>VLOOKUP(tbl_position[[#This Row],[Date]], tbl_CVX[], 5, 0)</f>
        <v>82.46</v>
      </c>
      <c r="N49" s="135">
        <f>VLOOKUP(tbl_position[[#This Row],[Date]], tbl_QCOM[], 5, 0)</f>
        <v>147.69</v>
      </c>
      <c r="O49" s="135">
        <f>VLOOKUP(tbl_position[[#This Row],[Date]], tbl_F[], 5, 0)</f>
        <v>8.33</v>
      </c>
      <c r="P49" s="127">
        <f>VLOOKUP(tbl_position[[#This Row],[Date]], tbl_LTHM[], 5, 0)</f>
        <v>13.1</v>
      </c>
      <c r="Q49" s="127">
        <f>VLOOKUP(tbl_position[[#This Row],[Date]], tbl_RCL[], 5, 0)</f>
        <v>70.88</v>
      </c>
      <c r="R49" s="127">
        <f>VLOOKUP(tbl_position[[#This Row],[Date]], tbl_OIL[], 5, 0)</f>
        <v>12.42</v>
      </c>
      <c r="S49" s="127">
        <f>VLOOKUP(tbl_position[[#This Row],[Date]], tbl_VIXY[], 5, 0)</f>
        <v>15.62</v>
      </c>
      <c r="T49" s="127">
        <f>VLOOKUP(tbl_position[[#This Row],[Date]], tbl_LLNW[], 5, 0)</f>
        <v>4</v>
      </c>
      <c r="U49" s="127">
        <f>VLOOKUP(tbl_position[[#This Row],[Date]], tbl_PLL[], 5, 0)</f>
        <v>24.44</v>
      </c>
      <c r="V49" s="127">
        <f>VLOOKUP(tbl_position[[#This Row],[Date]], tbl_APHA[], 5, 0)</f>
        <v>5.55</v>
      </c>
      <c r="W49" s="127">
        <f>VLOOKUP(tbl_position[[#This Row],[Date]], tbl_BEP[], 5, 0)</f>
        <v>59.39</v>
      </c>
      <c r="X4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$X48)</f>
        <v>0</v>
      </c>
      <c r="Y4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$Y48)</f>
        <v>0</v>
      </c>
      <c r="Z4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$Z48)</f>
        <v>0</v>
      </c>
      <c r="AA4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$AA48)</f>
        <v>0</v>
      </c>
      <c r="AB4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$AB48)</f>
        <v>0</v>
      </c>
      <c r="AC4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$AC48)</f>
        <v>0</v>
      </c>
      <c r="AD4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$AD48)</f>
        <v>0</v>
      </c>
      <c r="AE4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$AE48)</f>
        <v>0</v>
      </c>
      <c r="AF4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$AF48)</f>
        <v>0</v>
      </c>
      <c r="AG4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$AG48)</f>
        <v>4075</v>
      </c>
      <c r="AH4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$AH48)</f>
        <v>150</v>
      </c>
      <c r="AI4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$AI48)</f>
        <v>0</v>
      </c>
      <c r="AJ4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$AJ48)</f>
        <v>0</v>
      </c>
      <c r="AK4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$AK48)</f>
        <v>0</v>
      </c>
      <c r="AL4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$AL48)</f>
        <v>0</v>
      </c>
      <c r="AM49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$AM48)</f>
        <v>0</v>
      </c>
      <c r="AN49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$AN48)</f>
        <v>0</v>
      </c>
      <c r="AO49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$AO48)</f>
        <v>-450</v>
      </c>
      <c r="AP49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$AP48)</f>
        <v>3770</v>
      </c>
      <c r="AQ49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$AQ48)</f>
        <v>1000</v>
      </c>
      <c r="AR49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$AR48)</f>
        <v>2500</v>
      </c>
      <c r="AS49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$AS48)</f>
        <v>200</v>
      </c>
      <c r="AT49" s="10">
        <f ca="1" xml:space="preserve"> SUMPRODUCT(INDIRECT(ADDRESS(ROW(AT49), 2)):INDIRECT(ADDRESS(ROW(AT49), MATCH("Shares_AAPL", pos_header,0)-1)), INDIRECT(ADDRESS(ROW(AT49), MATCH("Shares_AAPL", pos_header,0))): INDIRECT(ADDRESS(ROW(AT49), MATCH("Shares_Holding", pos_header,0)-1)))</f>
        <v>89303.25</v>
      </c>
      <c r="AU49" s="135">
        <f>SUMIFS(tbl_transaction[Net_Cash_Change], tbl_transaction[Transaction_Date],tbl_position[[#This Row],[Date]])+IF(tbl_position[[#This Row],[Date]]=$A$5, 100000, $AU48)</f>
        <v>0</v>
      </c>
      <c r="AV49" s="11">
        <f>SUMIFS(tbl_transaction[Net_Debt_Change], tbl_transaction[Transaction_Date],tbl_position[[#This Row],[Date]])+IF(tbl_position[[#This Row],[Date]]=$A$5, 0, $AV48)</f>
        <v>-4874.1000000000004</v>
      </c>
      <c r="AW49" s="48">
        <f ca="1">tbl_position[[#This Row],[Shares_Holding]]+tbl_position[[#This Row],[Cash_Holding]]-tbl_position[[#This Row],[Liabilities_Holding]]</f>
        <v>94177.35</v>
      </c>
      <c r="AX49" s="48">
        <v>90745.96</v>
      </c>
    </row>
    <row r="50" spans="1:50" x14ac:dyDescent="0.35">
      <c r="A50" s="9">
        <v>44147</v>
      </c>
      <c r="B50" s="10">
        <f>VLOOKUP(tbl_position[[#This Row],[Date]], tbl_AAPL[], 5, 0)</f>
        <v>119.21</v>
      </c>
      <c r="C50" s="127">
        <f>VLOOKUP(tbl_position[[#This Row],[Date]], tbl_RIOT[], 5, 0)</f>
        <v>3.7</v>
      </c>
      <c r="D50" s="10">
        <f>VLOOKUP(tbl_position[[#This Row],[Date]], tbl_HD[], 5, 0)</f>
        <v>276.24</v>
      </c>
      <c r="E50" s="127">
        <f>VLOOKUP(tbl_position[[#This Row],[Date]], tbl_WMT[], 5, 0)</f>
        <v>148.22999999999999</v>
      </c>
      <c r="F50" s="127">
        <f>VLOOKUP(tbl_position[[#This Row],[Date]], tbl_IBM[], 5, 0)</f>
        <v>114.5</v>
      </c>
      <c r="G50" s="127">
        <f>VLOOKUP(tbl_position[[#This Row],[Date]], tbl_ORCL[], 5, 0)</f>
        <v>56.45</v>
      </c>
      <c r="H50" s="135">
        <f>VLOOKUP(tbl_position[[#This Row],[Date]], tbl_AKRO[], 5, 0)</f>
        <v>29</v>
      </c>
      <c r="I50" s="135">
        <f>VLOOKUP(tbl_position[[#This Row],[Date]], tbl_FDX[], 5, 0)</f>
        <v>267.16000000000003</v>
      </c>
      <c r="J50" s="135">
        <f>VLOOKUP(tbl_position[[#This Row],[Date]], tbl_NKLA[], 5, 0)</f>
        <v>19.57</v>
      </c>
      <c r="K50" s="135">
        <f>VLOOKUP(tbl_position[[#This Row],[Date]], tbl_SPXS[], 5, 0)</f>
        <v>4.76</v>
      </c>
      <c r="L50" s="135">
        <f>VLOOKUP(tbl_position[[#This Row],[Date]], tbl_AMD[], 5, 0)</f>
        <v>81.84</v>
      </c>
      <c r="M50" s="135">
        <f>VLOOKUP(tbl_position[[#This Row],[Date]], tbl_CVX[], 5, 0)</f>
        <v>80.67</v>
      </c>
      <c r="N50" s="135">
        <f>VLOOKUP(tbl_position[[#This Row],[Date]], tbl_QCOM[], 5, 0)</f>
        <v>143.91</v>
      </c>
      <c r="O50" s="135">
        <f>VLOOKUP(tbl_position[[#This Row],[Date]], tbl_F[], 5, 0)</f>
        <v>8.2100000000000009</v>
      </c>
      <c r="P50" s="127">
        <f>VLOOKUP(tbl_position[[#This Row],[Date]], tbl_LTHM[], 5, 0)</f>
        <v>13.18</v>
      </c>
      <c r="Q50" s="127">
        <f>VLOOKUP(tbl_position[[#This Row],[Date]], tbl_RCL[], 5, 0)</f>
        <v>68.099999999999994</v>
      </c>
      <c r="R50" s="127">
        <f>VLOOKUP(tbl_position[[#This Row],[Date]], tbl_OIL[], 5, 0)</f>
        <v>12.26</v>
      </c>
      <c r="S50" s="127">
        <f>VLOOKUP(tbl_position[[#This Row],[Date]], tbl_VIXY[], 5, 0)</f>
        <v>16.670000000000002</v>
      </c>
      <c r="T50" s="127">
        <f>VLOOKUP(tbl_position[[#This Row],[Date]], tbl_LLNW[], 5, 0)</f>
        <v>3.94</v>
      </c>
      <c r="U50" s="127">
        <f>VLOOKUP(tbl_position[[#This Row],[Date]], tbl_PLL[], 5, 0)</f>
        <v>26.4</v>
      </c>
      <c r="V50" s="127">
        <f>VLOOKUP(tbl_position[[#This Row],[Date]], tbl_APHA[], 5, 0)</f>
        <v>5.43</v>
      </c>
      <c r="W50" s="127">
        <f>VLOOKUP(tbl_position[[#This Row],[Date]], tbl_BEP[], 5, 0)</f>
        <v>58.88</v>
      </c>
      <c r="X5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$X49)</f>
        <v>0</v>
      </c>
      <c r="Y5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$Y49)</f>
        <v>0</v>
      </c>
      <c r="Z5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$Z49)</f>
        <v>0</v>
      </c>
      <c r="AA5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$AA49)</f>
        <v>0</v>
      </c>
      <c r="AB5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$AB49)</f>
        <v>0</v>
      </c>
      <c r="AC5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$AC49)</f>
        <v>0</v>
      </c>
      <c r="AD5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$AD49)</f>
        <v>0</v>
      </c>
      <c r="AE5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$AE49)</f>
        <v>0</v>
      </c>
      <c r="AF5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$AF49)</f>
        <v>0</v>
      </c>
      <c r="AG5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$AG49)</f>
        <v>4075</v>
      </c>
      <c r="AH5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$AH49)</f>
        <v>150</v>
      </c>
      <c r="AI5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$AI49)</f>
        <v>0</v>
      </c>
      <c r="AJ5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$AJ49)</f>
        <v>0</v>
      </c>
      <c r="AK5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$AK49)</f>
        <v>0</v>
      </c>
      <c r="AL5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$AL49)</f>
        <v>0</v>
      </c>
      <c r="AM50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$AM49)</f>
        <v>0</v>
      </c>
      <c r="AN50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$AN49)</f>
        <v>0</v>
      </c>
      <c r="AO50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$AO49)</f>
        <v>-450</v>
      </c>
      <c r="AP50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$AP49)</f>
        <v>3770</v>
      </c>
      <c r="AQ50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$AQ49)</f>
        <v>1000</v>
      </c>
      <c r="AR50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$AR49)</f>
        <v>2500</v>
      </c>
      <c r="AS50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$AS49)</f>
        <v>200</v>
      </c>
      <c r="AT50" s="10">
        <f ca="1" xml:space="preserve"> SUMPRODUCT(INDIRECT(ADDRESS(ROW(AT50), 2)):INDIRECT(ADDRESS(ROW(AT50), MATCH("Shares_AAPL", pos_header,0)-1)), INDIRECT(ADDRESS(ROW(AT50), MATCH("Shares_AAPL", pos_header,0))): INDIRECT(ADDRESS(ROW(AT50), MATCH("Shares_Holding", pos_header,0)-1)))</f>
        <v>90776.3</v>
      </c>
      <c r="AU50" s="135">
        <f>SUMIFS(tbl_transaction[Net_Cash_Change], tbl_transaction[Transaction_Date],tbl_position[[#This Row],[Date]])+IF(tbl_position[[#This Row],[Date]]=$A$5, 100000, $AU49)</f>
        <v>0</v>
      </c>
      <c r="AV50" s="11">
        <f>SUMIFS(tbl_transaction[Net_Debt_Change], tbl_transaction[Transaction_Date],tbl_position[[#This Row],[Date]])+IF(tbl_position[[#This Row],[Date]]=$A$5, 0, $AV49)</f>
        <v>-4874.1000000000004</v>
      </c>
      <c r="AW50" s="48">
        <f ca="1">tbl_position[[#This Row],[Shares_Holding]]+tbl_position[[#This Row],[Cash_Holding]]-tbl_position[[#This Row],[Liabilities_Holding]]</f>
        <v>95650.400000000009</v>
      </c>
      <c r="AX50" s="48">
        <v>92707.89</v>
      </c>
    </row>
    <row r="51" spans="1:50" x14ac:dyDescent="0.35">
      <c r="A51" s="9">
        <v>44148</v>
      </c>
      <c r="B51" s="10">
        <f>VLOOKUP(tbl_position[[#This Row],[Date]], tbl_AAPL[], 5, 0)</f>
        <v>119.26</v>
      </c>
      <c r="C51" s="127">
        <f>VLOOKUP(tbl_position[[#This Row],[Date]], tbl_RIOT[], 5, 0)</f>
        <v>3.98</v>
      </c>
      <c r="D51" s="10">
        <f>VLOOKUP(tbl_position[[#This Row],[Date]], tbl_HD[], 5, 0)</f>
        <v>277.17</v>
      </c>
      <c r="E51" s="127">
        <f>VLOOKUP(tbl_position[[#This Row],[Date]], tbl_WMT[], 5, 0)</f>
        <v>150.54</v>
      </c>
      <c r="F51" s="127">
        <f>VLOOKUP(tbl_position[[#This Row],[Date]], tbl_IBM[], 5, 0)</f>
        <v>116.85</v>
      </c>
      <c r="G51" s="127">
        <f>VLOOKUP(tbl_position[[#This Row],[Date]], tbl_ORCL[], 5, 0)</f>
        <v>56.91</v>
      </c>
      <c r="H51" s="135">
        <f>VLOOKUP(tbl_position[[#This Row],[Date]], tbl_AKRO[], 5, 0)</f>
        <v>27.9</v>
      </c>
      <c r="I51" s="135">
        <f>VLOOKUP(tbl_position[[#This Row],[Date]], tbl_FDX[], 5, 0)</f>
        <v>271.91000000000003</v>
      </c>
      <c r="J51" s="135">
        <f>VLOOKUP(tbl_position[[#This Row],[Date]], tbl_NKLA[], 5, 0)</f>
        <v>21.18</v>
      </c>
      <c r="K51" s="135">
        <f>VLOOKUP(tbl_position[[#This Row],[Date]], tbl_SPXS[], 5, 0)</f>
        <v>4.5599999999999996</v>
      </c>
      <c r="L51" s="135">
        <f>VLOOKUP(tbl_position[[#This Row],[Date]], tbl_AMD[], 5, 0)</f>
        <v>82.3</v>
      </c>
      <c r="M51" s="135">
        <f>VLOOKUP(tbl_position[[#This Row],[Date]], tbl_CVX[], 5, 0)</f>
        <v>82.18</v>
      </c>
      <c r="N51" s="135">
        <f>VLOOKUP(tbl_position[[#This Row],[Date]], tbl_QCOM[], 5, 0)</f>
        <v>145.07</v>
      </c>
      <c r="O51" s="135">
        <f>VLOOKUP(tbl_position[[#This Row],[Date]], tbl_F[], 5, 0)</f>
        <v>8.3800000000000008</v>
      </c>
      <c r="P51" s="127">
        <f>VLOOKUP(tbl_position[[#This Row],[Date]], tbl_LTHM[], 5, 0)</f>
        <v>13.45</v>
      </c>
      <c r="Q51" s="127">
        <f>VLOOKUP(tbl_position[[#This Row],[Date]], tbl_RCL[], 5, 0)</f>
        <v>69.599999999999994</v>
      </c>
      <c r="R51" s="127">
        <f>VLOOKUP(tbl_position[[#This Row],[Date]], tbl_OIL[], 5, 0)</f>
        <v>12</v>
      </c>
      <c r="S51" s="127">
        <f>VLOOKUP(tbl_position[[#This Row],[Date]], tbl_VIXY[], 5, 0)</f>
        <v>15.64</v>
      </c>
      <c r="T51" s="127">
        <f>VLOOKUP(tbl_position[[#This Row],[Date]], tbl_LLNW[], 5, 0)</f>
        <v>3.98</v>
      </c>
      <c r="U51" s="127">
        <f>VLOOKUP(tbl_position[[#This Row],[Date]], tbl_PLL[], 5, 0)</f>
        <v>26.72</v>
      </c>
      <c r="V51" s="127">
        <f>VLOOKUP(tbl_position[[#This Row],[Date]], tbl_APHA[], 5, 0)</f>
        <v>5.66</v>
      </c>
      <c r="W51" s="127">
        <f>VLOOKUP(tbl_position[[#This Row],[Date]], tbl_BEP[], 5, 0)</f>
        <v>57.6</v>
      </c>
      <c r="X5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$X50)</f>
        <v>0</v>
      </c>
      <c r="Y5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$Y50)</f>
        <v>0</v>
      </c>
      <c r="Z5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$Z50)</f>
        <v>0</v>
      </c>
      <c r="AA5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$AA50)</f>
        <v>0</v>
      </c>
      <c r="AB5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$AB50)</f>
        <v>0</v>
      </c>
      <c r="AC5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$AC50)</f>
        <v>0</v>
      </c>
      <c r="AD5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$AD50)</f>
        <v>0</v>
      </c>
      <c r="AE5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$AE50)</f>
        <v>0</v>
      </c>
      <c r="AF5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$AF50)</f>
        <v>0</v>
      </c>
      <c r="AG5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$AG50)</f>
        <v>4075</v>
      </c>
      <c r="AH5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$AH50)</f>
        <v>150</v>
      </c>
      <c r="AI5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$AI50)</f>
        <v>0</v>
      </c>
      <c r="AJ5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$AJ50)</f>
        <v>0</v>
      </c>
      <c r="AK5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$AK50)</f>
        <v>0</v>
      </c>
      <c r="AL5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$AL50)</f>
        <v>0</v>
      </c>
      <c r="AM51" s="47">
        <f>SUMIFS(tbl_transaction[Stock Holding Change], tbl_transaction[Symbol], MID(tbl_position[[#Headers],[Shares_RCL]], FIND("_", tbl_position[[#Headers],[Shares_RCL]])+1, 99), tbl_transaction[Transaction_Date], tbl_position[[#This Row],[Date]]) + IF(tbl_position[[#This Row],[Date]]=$A$5, 0, $AM50)</f>
        <v>0</v>
      </c>
      <c r="AN51" s="47">
        <f>SUMIFS(tbl_transaction[Stock Holding Change], tbl_transaction[Symbol], MID(tbl_position[[#Headers],[Shares_OIL]], FIND("_", tbl_position[[#Headers],[Shares_OIL]])+1, 99), tbl_transaction[Transaction_Date], tbl_position[[#This Row],[Date]]) + IF(tbl_position[[#This Row],[Date]]=$A$5, 0, $AN50)</f>
        <v>0</v>
      </c>
      <c r="AO51" s="47">
        <f>SUMIFS(tbl_transaction[Stock Holding Change], tbl_transaction[Symbol], MID(tbl_position[[#Headers],[Shares_VIXY]], FIND("_", tbl_position[[#Headers],[Shares_VIXY]])+1, 99), tbl_transaction[Transaction_Date], tbl_position[[#This Row],[Date]]) + IF(tbl_position[[#This Row],[Date]]=$A$5, 0, $AO50)</f>
        <v>-450</v>
      </c>
      <c r="AP51" s="47">
        <f>SUMIFS(tbl_transaction[Stock Holding Change], tbl_transaction[Symbol], MID(tbl_position[[#Headers],[Shares_LLNW]], FIND("_", tbl_position[[#Headers],[Shares_LLNW]])+1, 99), tbl_transaction[Transaction_Date], tbl_position[[#This Row],[Date]]) + IF(tbl_position[[#This Row],[Date]]=$A$5, 0, $AP50)</f>
        <v>3770</v>
      </c>
      <c r="AQ51" s="47">
        <f>SUMIFS(tbl_transaction[Stock Holding Change], tbl_transaction[Symbol], MID(tbl_position[[#Headers],[Shares_PLL]], FIND("_", tbl_position[[#Headers],[Shares_PLL]])+1, 99), tbl_transaction[Transaction_Date], tbl_position[[#This Row],[Date]]) + IF(tbl_position[[#This Row],[Date]]=$A$5, 0, $AQ50)</f>
        <v>1000</v>
      </c>
      <c r="AR51" s="47">
        <f>SUMIFS(tbl_transaction[Stock Holding Change], tbl_transaction[Symbol], MID(tbl_position[[#Headers],[Shares_APHA]], FIND("_", tbl_position[[#Headers],[Shares_APHA]])+1, 99), tbl_transaction[Transaction_Date], tbl_position[[#This Row],[Date]]) + IF(tbl_position[[#This Row],[Date]]=$A$5, 0, $AR50)</f>
        <v>2500</v>
      </c>
      <c r="AS51" s="47">
        <f>SUMIFS(tbl_transaction[Stock Holding Change], tbl_transaction[Symbol], MID(tbl_position[[#Headers],[Shares_BEP]], FIND("_", tbl_position[[#Headers],[Shares_BEP]])+1, 99), tbl_transaction[Transaction_Date], tbl_position[[#This Row],[Date]]) + IF(tbl_position[[#This Row],[Date]]=$A$5, 0, $AS50)</f>
        <v>200</v>
      </c>
      <c r="AT51" s="10">
        <f ca="1" xml:space="preserve"> SUMPRODUCT(INDIRECT(ADDRESS(ROW(AT51), 2)):INDIRECT(ADDRESS(ROW(AT51), MATCH("Shares_AAPL", pos_header,0)-1)), INDIRECT(ADDRESS(ROW(AT51), MATCH("Shares_AAPL", pos_header,0))): INDIRECT(ADDRESS(ROW(AT51), MATCH("Shares_Holding", pos_header,0)-1)))</f>
        <v>91283.6</v>
      </c>
      <c r="AU51" s="135">
        <f>SUMIFS(tbl_transaction[Net_Cash_Change], tbl_transaction[Transaction_Date],tbl_position[[#This Row],[Date]])+IF(tbl_position[[#This Row],[Date]]=$A$5, 100000, $AU50)</f>
        <v>0</v>
      </c>
      <c r="AV51" s="11">
        <f>SUMIFS(tbl_transaction[Net_Debt_Change], tbl_transaction[Transaction_Date],tbl_position[[#This Row],[Date]])+IF(tbl_position[[#This Row],[Date]]=$A$5, 0, $AV50)</f>
        <v>-4874.1000000000004</v>
      </c>
      <c r="AW51" s="48">
        <f ca="1">tbl_position[[#This Row],[Shares_Holding]]+tbl_position[[#This Row],[Cash_Holding]]-tbl_position[[#This Row],[Liabilities_Holding]]</f>
        <v>96157.700000000012</v>
      </c>
      <c r="AX51" s="48">
        <v>92645.56</v>
      </c>
    </row>
    <row r="52" spans="1:50" x14ac:dyDescent="0.35">
      <c r="A52" t="s">
        <v>162</v>
      </c>
      <c r="B52">
        <f>SUBTOTAL(103,tbl_position[Price_AAPL])</f>
        <v>47</v>
      </c>
      <c r="D52" s="46"/>
      <c r="AU52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4"/>
  <sheetViews>
    <sheetView workbookViewId="0">
      <selection activeCell="A2" sqref="A2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8" max="8" width="11.1796875" customWidth="1"/>
    <col min="10" max="10" width="11.54296875" customWidth="1"/>
    <col min="11" max="11" width="12" customWidth="1"/>
    <col min="12" max="12" width="11.81640625" customWidth="1"/>
    <col min="13" max="13" width="9.81640625" bestFit="1" customWidth="1"/>
    <col min="15" max="15" width="11.7265625" customWidth="1"/>
    <col min="16" max="16" width="13.26953125" customWidth="1"/>
  </cols>
  <sheetData>
    <row r="1" spans="1:19" ht="21" x14ac:dyDescent="0.5">
      <c r="A1" s="41" t="s">
        <v>74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3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3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3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3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3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3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3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3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3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3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3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3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3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3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3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3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3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3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3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3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3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3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3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3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3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3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35">
      <c r="A45" s="8">
        <v>44110</v>
      </c>
      <c r="B45" s="48">
        <v>282.5</v>
      </c>
      <c r="C45" s="48">
        <v>283</v>
      </c>
      <c r="D45" s="48">
        <v>275.77</v>
      </c>
      <c r="E45" s="48">
        <v>276.47000000000003</v>
      </c>
      <c r="F45" s="48">
        <v>276.47000000000003</v>
      </c>
      <c r="G45">
        <v>2992500</v>
      </c>
      <c r="H45" s="10">
        <f>IF(tbl_HD[[#This Row],[Date]]=$A$5, $F45, EMA_Beta*$H44 + (1-EMA_Beta)*$F45)</f>
        <v>276.16402282963259</v>
      </c>
      <c r="I45" s="46">
        <f ca="1">IF(tbl_HD[[#This Row],[RS]]= "", "", 100-(100/(1+tbl_HD[[#This Row],[RS]])))</f>
        <v>43.629624243256295</v>
      </c>
      <c r="J45" s="10">
        <f ca="1">IF(ROW($N45)-4&lt;BB_Periods, "", AVERAGE(INDIRECT(ADDRESS(ROW($F45)-RSI_Periods +1, MATCH("Adj Close", Price_Header,0))): INDIRECT(ADDRESS(ROW($F45),MATCH("Adj Close", Price_Header,0)))))</f>
        <v>274.23285649999997</v>
      </c>
      <c r="K45" s="127">
        <f ca="1">IF(tbl_HD[[#This Row],[BB_Mean]]="", "", tbl_HD[[#This Row],[BB_Mean]]+(BB_Width*tbl_HD[[#This Row],[BB_Stdev]]))</f>
        <v>284.25757337880719</v>
      </c>
      <c r="L45" s="127">
        <f ca="1">IF(tbl_HD[[#This Row],[BB_Mean]]="", "", tbl_HD[[#This Row],[BB_Mean]]-(BB_Width*tbl_HD[[#This Row],[BB_Stdev]]))</f>
        <v>264.20813962119274</v>
      </c>
      <c r="M45" s="46">
        <f>IF(ROW(tbl_HD[[#This Row],[Adj Close]])=5, 0, $F45-$F44)</f>
        <v>-5.6299999999999955</v>
      </c>
      <c r="N45" s="46">
        <f>MAX(tbl_HD[[#This Row],[Move]],0)</f>
        <v>0</v>
      </c>
      <c r="O45" s="46">
        <f>MAX(-tbl_HD[[#This Row],[Move]],0)</f>
        <v>5.6299999999999955</v>
      </c>
      <c r="P45" s="46">
        <f ca="1">IF(ROW($N45)-5&lt;RSI_Periods, "", AVERAGE(INDIRECT(ADDRESS(ROW($N45)-RSI_Periods +1, MATCH("Upmove", Price_Header,0))): INDIRECT(ADDRESS(ROW($N45),MATCH("Upmove", Price_Header,0)))))</f>
        <v>1.2621428571428541</v>
      </c>
      <c r="Q45" s="46">
        <f ca="1">IF(ROW($O45)-5&lt;RSI_Periods, "", AVERAGE(INDIRECT(ADDRESS(ROW($O45)-RSI_Periods +1, MATCH("Downmove", Price_Header,0))): INDIRECT(ADDRESS(ROW($O45),MATCH("Downmove", Price_Header,0)))))</f>
        <v>1.6307146428571369</v>
      </c>
      <c r="R45" s="46">
        <f ca="1">IF(tbl_HD[[#This Row],[Avg_Upmove]]="", "", tbl_HD[[#This Row],[Avg_Upmove]]/tbl_HD[[#This Row],[Avg_Downmove]])</f>
        <v>0.77398143364401462</v>
      </c>
      <c r="S45" s="10">
        <f ca="1">IF(ROW($N45)-4&lt;BB_Periods, "", _xlfn.STDEV.S(INDIRECT(ADDRESS(ROW($F45)-RSI_Periods +1, MATCH("Adj Close", Price_Header,0))): INDIRECT(ADDRESS(ROW($F45),MATCH("Adj Close", Price_Header,0)))))</f>
        <v>5.0123584394036254</v>
      </c>
    </row>
    <row r="46" spans="1:19" x14ac:dyDescent="0.35">
      <c r="A46" s="8">
        <v>44111</v>
      </c>
      <c r="B46" s="48">
        <v>280.85000000000002</v>
      </c>
      <c r="C46" s="48">
        <v>284</v>
      </c>
      <c r="D46" s="48">
        <v>280</v>
      </c>
      <c r="E46" s="48">
        <v>282.79000000000002</v>
      </c>
      <c r="F46" s="48">
        <v>282.79000000000002</v>
      </c>
      <c r="G46">
        <v>3423700</v>
      </c>
      <c r="H46" s="10">
        <f>IF(tbl_HD[[#This Row],[Date]]=$A$5, $F46, EMA_Beta*$H45 + (1-EMA_Beta)*$F46)</f>
        <v>276.82662054666935</v>
      </c>
      <c r="I46" s="46">
        <f ca="1">IF(tbl_HD[[#This Row],[RS]]= "", "", 100-(100/(1+tbl_HD[[#This Row],[RS]])))</f>
        <v>53.134008376657292</v>
      </c>
      <c r="J46" s="10">
        <f ca="1">IF(ROW($N46)-4&lt;BB_Periods, "", AVERAGE(INDIRECT(ADDRESS(ROW($F46)-RSI_Periods +1, MATCH("Adj Close", Price_Header,0))): INDIRECT(ADDRESS(ROW($F46),MATCH("Adj Close", Price_Header,0)))))</f>
        <v>274.43499999999995</v>
      </c>
      <c r="K46" s="127">
        <f ca="1">IF(tbl_HD[[#This Row],[BB_Mean]]="", "", tbl_HD[[#This Row],[BB_Mean]]+(BB_Width*tbl_HD[[#This Row],[BB_Stdev]]))</f>
        <v>285.05372294219393</v>
      </c>
      <c r="L46" s="127">
        <f ca="1">IF(tbl_HD[[#This Row],[BB_Mean]]="", "", tbl_HD[[#This Row],[BB_Mean]]-(BB_Width*tbl_HD[[#This Row],[BB_Stdev]]))</f>
        <v>263.81627705780596</v>
      </c>
      <c r="M46" s="46">
        <f>IF(ROW(tbl_HD[[#This Row],[Adj Close]])=5, 0, $F46-$F45)</f>
        <v>6.3199999999999932</v>
      </c>
      <c r="N46" s="46">
        <f>MAX(tbl_HD[[#This Row],[Move]],0)</f>
        <v>6.3199999999999932</v>
      </c>
      <c r="O46" s="46">
        <f>MAX(-tbl_HD[[#This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1.7135714285714252</v>
      </c>
      <c r="Q46" s="46">
        <f ca="1">IF(ROW($O46)-5&lt;RSI_Periods, "", AVERAGE(INDIRECT(ADDRESS(ROW($O46)-RSI_Periods +1, MATCH("Downmove", Price_Header,0))): INDIRECT(ADDRESS(ROW($O46),MATCH("Downmove", Price_Header,0)))))</f>
        <v>1.5114279285714238</v>
      </c>
      <c r="R46" s="46">
        <f ca="1">IF(tbl_HD[[#This Row],[Avg_Upmove]]="", "", tbl_HD[[#This Row],[Avg_Upmove]]/tbl_HD[[#This Row],[Avg_Downmove]])</f>
        <v>1.1337433933691194</v>
      </c>
      <c r="S46" s="10">
        <f ca="1">IF(ROW($N46)-4&lt;BB_Periods, "", _xlfn.STDEV.S(INDIRECT(ADDRESS(ROW($F46)-RSI_Periods +1, MATCH("Adj Close", Price_Header,0))): INDIRECT(ADDRESS(ROW($F46),MATCH("Adj Close", Price_Header,0)))))</f>
        <v>5.309361471096997</v>
      </c>
    </row>
    <row r="47" spans="1:19" x14ac:dyDescent="0.35">
      <c r="A47" s="8">
        <v>44112</v>
      </c>
      <c r="B47" s="48">
        <v>283.83999999999997</v>
      </c>
      <c r="C47" s="48">
        <v>284.95</v>
      </c>
      <c r="D47" s="48">
        <v>281.17</v>
      </c>
      <c r="E47" s="48">
        <v>284.52</v>
      </c>
      <c r="F47" s="48">
        <v>284.52</v>
      </c>
      <c r="G47">
        <v>2256200</v>
      </c>
      <c r="H47" s="10">
        <f>IF(tbl_HD[[#This Row],[Date]]=$A$5, $F47, EMA_Beta*$H46 + (1-EMA_Beta)*$F47)</f>
        <v>277.59595849200241</v>
      </c>
      <c r="I47" s="46">
        <f ca="1">IF(tbl_HD[[#This Row],[RS]]= "", "", 100-(100/(1+tbl_HD[[#This Row],[RS]])))</f>
        <v>61.07812871052009</v>
      </c>
      <c r="J47" s="10">
        <f ca="1">IF(ROW($N47)-4&lt;BB_Periods, "", AVERAGE(INDIRECT(ADDRESS(ROW($F47)-RSI_Periods +1, MATCH("Adj Close", Price_Header,0))): INDIRECT(ADDRESS(ROW($F47),MATCH("Adj Close", Price_Header,0)))))</f>
        <v>275.10142857142853</v>
      </c>
      <c r="K47" s="127">
        <f ca="1">IF(tbl_HD[[#This Row],[BB_Mean]]="", "", tbl_HD[[#This Row],[BB_Mean]]+(BB_Width*tbl_HD[[#This Row],[BB_Stdev]]))</f>
        <v>287.0162618790016</v>
      </c>
      <c r="L47" s="127">
        <f ca="1">IF(tbl_HD[[#This Row],[BB_Mean]]="", "", tbl_HD[[#This Row],[BB_Mean]]-(BB_Width*tbl_HD[[#This Row],[BB_Stdev]]))</f>
        <v>263.18659526385545</v>
      </c>
      <c r="M47" s="46">
        <f>IF(ROW(tbl_HD[[#This Row],[Adj Close]])=5, 0, $F47-$F46)</f>
        <v>1.7299999999999613</v>
      </c>
      <c r="N47" s="46">
        <f>MAX(tbl_HD[[#This Row],[Move]],0)</f>
        <v>1.7299999999999613</v>
      </c>
      <c r="O47" s="46">
        <f>MAX(-tbl_HD[[#This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1.837142857142851</v>
      </c>
      <c r="Q47" s="46">
        <f ca="1">IF(ROW($O47)-5&lt;RSI_Periods, "", AVERAGE(INDIRECT(ADDRESS(ROW($O47)-RSI_Periods +1, MATCH("Downmove", Price_Header,0))): INDIRECT(ADDRESS(ROW($O47),MATCH("Downmove", Price_Header,0)))))</f>
        <v>1.1707142857142807</v>
      </c>
      <c r="R47" s="46">
        <f ca="1">IF(tbl_HD[[#This Row],[Avg_Upmove]]="", "", tbl_HD[[#This Row],[Avg_Upmove]]/tbl_HD[[#This Row],[Avg_Downmove]])</f>
        <v>1.5692495424039064</v>
      </c>
      <c r="S47" s="10">
        <f ca="1">IF(ROW($N47)-4&lt;BB_Periods, "", _xlfn.STDEV.S(INDIRECT(ADDRESS(ROW($F47)-RSI_Periods +1, MATCH("Adj Close", Price_Header,0))): INDIRECT(ADDRESS(ROW($F47),MATCH("Adj Close", Price_Header,0)))))</f>
        <v>5.957416653786539</v>
      </c>
    </row>
    <row r="48" spans="1:19" x14ac:dyDescent="0.35">
      <c r="A48" s="8">
        <v>44113</v>
      </c>
      <c r="B48" s="48">
        <v>285.47000000000003</v>
      </c>
      <c r="C48" s="48">
        <v>287.27999999999997</v>
      </c>
      <c r="D48" s="48">
        <v>284.08999999999997</v>
      </c>
      <c r="E48" s="48">
        <v>285.92</v>
      </c>
      <c r="F48" s="48">
        <v>285.92</v>
      </c>
      <c r="G48">
        <v>2238500</v>
      </c>
      <c r="H48" s="10">
        <f>IF(tbl_HD[[#This Row],[Date]]=$A$5, $F48, EMA_Beta*$H47 + (1-EMA_Beta)*$F48)</f>
        <v>278.4283626428022</v>
      </c>
      <c r="I48" s="46">
        <f ca="1">IF(tbl_HD[[#This Row],[RS]]= "", "", 100-(100/(1+tbl_HD[[#This Row],[RS]])))</f>
        <v>66.683058765674986</v>
      </c>
      <c r="J48" s="10">
        <f ca="1">IF(ROW($N48)-4&lt;BB_Periods, "", AVERAGE(INDIRECT(ADDRESS(ROW($F48)-RSI_Periods +1, MATCH("Adj Close", Price_Header,0))): INDIRECT(ADDRESS(ROW($F48),MATCH("Adj Close", Price_Header,0)))))</f>
        <v>276.07071428571425</v>
      </c>
      <c r="K48" s="127">
        <f ca="1">IF(tbl_HD[[#This Row],[BB_Mean]]="", "", tbl_HD[[#This Row],[BB_Mean]]+(BB_Width*tbl_HD[[#This Row],[BB_Stdev]]))</f>
        <v>289.17031490037942</v>
      </c>
      <c r="L48" s="127">
        <f ca="1">IF(tbl_HD[[#This Row],[BB_Mean]]="", "", tbl_HD[[#This Row],[BB_Mean]]-(BB_Width*tbl_HD[[#This Row],[BB_Stdev]]))</f>
        <v>262.97111367104907</v>
      </c>
      <c r="M48" s="46">
        <f>IF(ROW(tbl_HD[[#This Row],[Adj Close]])=5, 0, $F48-$F47)</f>
        <v>1.4000000000000341</v>
      </c>
      <c r="N48" s="46">
        <f>MAX(tbl_HD[[#This Row],[Move]],0)</f>
        <v>1.4000000000000341</v>
      </c>
      <c r="O48" s="46">
        <f>MAX(-tbl_HD[[#This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1.9371428571428535</v>
      </c>
      <c r="Q48" s="46">
        <f ca="1">IF(ROW($O48)-5&lt;RSI_Periods, "", AVERAGE(INDIRECT(ADDRESS(ROW($O48)-RSI_Periods +1, MATCH("Downmove", Price_Header,0))): INDIRECT(ADDRESS(ROW($O48),MATCH("Downmove", Price_Header,0)))))</f>
        <v>0.96785714285713964</v>
      </c>
      <c r="R48" s="46">
        <f ca="1">IF(tbl_HD[[#This Row],[Avg_Upmove]]="", "", tbl_HD[[#This Row],[Avg_Upmove]]/tbl_HD[[#This Row],[Avg_Downmove]])</f>
        <v>2.0014760147601507</v>
      </c>
      <c r="S48" s="10">
        <f ca="1">IF(ROW($N48)-4&lt;BB_Periods, "", _xlfn.STDEV.S(INDIRECT(ADDRESS(ROW($F48)-RSI_Periods +1, MATCH("Adj Close", Price_Header,0))): INDIRECT(ADDRESS(ROW($F48),MATCH("Adj Close", Price_Header,0)))))</f>
        <v>6.5498003073325899</v>
      </c>
    </row>
    <row r="49" spans="1:19" x14ac:dyDescent="0.35">
      <c r="A49" s="8">
        <v>44116</v>
      </c>
      <c r="B49" s="48">
        <v>287.39</v>
      </c>
      <c r="C49" s="48">
        <v>288.33</v>
      </c>
      <c r="D49" s="48">
        <v>286.06</v>
      </c>
      <c r="E49" s="48">
        <v>286.91000000000003</v>
      </c>
      <c r="F49" s="48">
        <v>286.91000000000003</v>
      </c>
      <c r="G49">
        <v>2411900</v>
      </c>
      <c r="H49" s="10">
        <f>IF(tbl_HD[[#This Row],[Date]]=$A$5, $F49, EMA_Beta*$H48 + (1-EMA_Beta)*$F49)</f>
        <v>279.27652637852196</v>
      </c>
      <c r="I49" s="46">
        <f ca="1">IF(tbl_HD[[#This Row],[RS]]= "", "", 100-(100/(1+tbl_HD[[#This Row],[RS]])))</f>
        <v>66.707616707616765</v>
      </c>
      <c r="J49" s="10">
        <f ca="1">IF(ROW($N49)-4&lt;BB_Periods, "", AVERAGE(INDIRECT(ADDRESS(ROW($F49)-RSI_Periods +1, MATCH("Adj Close", Price_Header,0))): INDIRECT(ADDRESS(ROW($F49),MATCH("Adj Close", Price_Header,0)))))</f>
        <v>277.04214285714284</v>
      </c>
      <c r="K49" s="127">
        <f ca="1">IF(tbl_HD[[#This Row],[BB_Mean]]="", "", tbl_HD[[#This Row],[BB_Mean]]+(BB_Width*tbl_HD[[#This Row],[BB_Stdev]]))</f>
        <v>291.23158243749259</v>
      </c>
      <c r="L49" s="127">
        <f ca="1">IF(tbl_HD[[#This Row],[BB_Mean]]="", "", tbl_HD[[#This Row],[BB_Mean]]-(BB_Width*tbl_HD[[#This Row],[BB_Stdev]]))</f>
        <v>262.85270327679308</v>
      </c>
      <c r="M49" s="46">
        <f>IF(ROW(tbl_HD[[#This Row],[Adj Close]])=5, 0, $F49-$F48)</f>
        <v>0.99000000000000909</v>
      </c>
      <c r="N49" s="46">
        <f>MAX(tbl_HD[[#This Row],[Move]],0)</f>
        <v>0.99000000000000909</v>
      </c>
      <c r="O49" s="46">
        <f>MAX(-tbl_HD[[#This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1.9392857142857127</v>
      </c>
      <c r="Q49" s="46">
        <f ca="1">IF(ROW($O49)-5&lt;RSI_Periods, "", AVERAGE(INDIRECT(ADDRESS(ROW($O49)-RSI_Periods +1, MATCH("Downmove", Price_Header,0))): INDIRECT(ADDRESS(ROW($O49),MATCH("Downmove", Price_Header,0)))))</f>
        <v>0.96785714285713964</v>
      </c>
      <c r="R49" s="46">
        <f ca="1">IF(tbl_HD[[#This Row],[Avg_Upmove]]="", "", tbl_HD[[#This Row],[Avg_Upmove]]/tbl_HD[[#This Row],[Avg_Downmove]])</f>
        <v>2.0036900369003741</v>
      </c>
      <c r="S49" s="10">
        <f ca="1">IF(ROW($N49)-4&lt;BB_Periods, "", _xlfn.STDEV.S(INDIRECT(ADDRESS(ROW($F49)-RSI_Periods +1, MATCH("Adj Close", Price_Header,0))): INDIRECT(ADDRESS(ROW($F49),MATCH("Adj Close", Price_Header,0)))))</f>
        <v>7.0947197901748709</v>
      </c>
    </row>
    <row r="50" spans="1:19" x14ac:dyDescent="0.35">
      <c r="A50" s="8">
        <v>44117</v>
      </c>
      <c r="B50" s="48">
        <v>285.7</v>
      </c>
      <c r="C50" s="48">
        <v>290.77</v>
      </c>
      <c r="D50" s="48">
        <v>285.7</v>
      </c>
      <c r="E50" s="48">
        <v>290.36</v>
      </c>
      <c r="F50" s="48">
        <v>290.36</v>
      </c>
      <c r="G50">
        <v>2699900</v>
      </c>
      <c r="H50" s="10">
        <f>IF(tbl_HD[[#This Row],[Date]]=$A$5, $F50, EMA_Beta*$H49 + (1-EMA_Beta)*$F50)</f>
        <v>280.38487374066978</v>
      </c>
      <c r="I50" s="46">
        <f ca="1">IF(tbl_HD[[#This Row],[RS]]= "", "", 100-(100/(1+tbl_HD[[#This Row],[RS]])))</f>
        <v>81.840064188285709</v>
      </c>
      <c r="J50" s="10">
        <f ca="1">IF(ROW($N50)-4&lt;BB_Periods, "", AVERAGE(INDIRECT(ADDRESS(ROW($F50)-RSI_Periods +1, MATCH("Adj Close", Price_Header,0))): INDIRECT(ADDRESS(ROW($F50),MATCH("Adj Close", Price_Header,0)))))</f>
        <v>278.74285714285713</v>
      </c>
      <c r="K50" s="127">
        <f ca="1">IF(tbl_HD[[#This Row],[BB_Mean]]="", "", tbl_HD[[#This Row],[BB_Mean]]+(BB_Width*tbl_HD[[#This Row],[BB_Stdev]]))</f>
        <v>293.21980843383409</v>
      </c>
      <c r="L50" s="127">
        <f ca="1">IF(tbl_HD[[#This Row],[BB_Mean]]="", "", tbl_HD[[#This Row],[BB_Mean]]-(BB_Width*tbl_HD[[#This Row],[BB_Stdev]]))</f>
        <v>264.26590585188018</v>
      </c>
      <c r="M50" s="46">
        <f>IF(ROW(tbl_HD[[#This Row],[Adj Close]])=5, 0, $F50-$F49)</f>
        <v>3.4499999999999886</v>
      </c>
      <c r="N50" s="46">
        <f>MAX(tbl_HD[[#This Row],[Move]],0)</f>
        <v>3.4499999999999886</v>
      </c>
      <c r="O50" s="46">
        <f>MAX(-tbl_HD[[#This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2.1857142857142833</v>
      </c>
      <c r="Q50" s="46">
        <f ca="1">IF(ROW($O50)-5&lt;RSI_Periods, "", AVERAGE(INDIRECT(ADDRESS(ROW($O50)-RSI_Periods +1, MATCH("Downmove", Price_Header,0))): INDIRECT(ADDRESS(ROW($O50),MATCH("Downmove", Price_Header,0)))))</f>
        <v>0.48499999999999738</v>
      </c>
      <c r="R50" s="46">
        <f ca="1">IF(tbl_HD[[#This Row],[Avg_Upmove]]="", "", tbl_HD[[#This Row],[Avg_Upmove]]/tbl_HD[[#This Row],[Avg_Downmove]])</f>
        <v>4.5066273932253509</v>
      </c>
      <c r="S50" s="10">
        <f ca="1">IF(ROW($N50)-4&lt;BB_Periods, "", _xlfn.STDEV.S(INDIRECT(ADDRESS(ROW($F50)-RSI_Periods +1, MATCH("Adj Close", Price_Header,0))): INDIRECT(ADDRESS(ROW($F50),MATCH("Adj Close", Price_Header,0)))))</f>
        <v>7.2384756454884718</v>
      </c>
    </row>
    <row r="51" spans="1:19" x14ac:dyDescent="0.35">
      <c r="A51" s="8">
        <v>44118</v>
      </c>
      <c r="B51" s="48">
        <v>289.51</v>
      </c>
      <c r="C51" s="48">
        <v>290.3</v>
      </c>
      <c r="D51" s="48">
        <v>285.14999999999998</v>
      </c>
      <c r="E51" s="48">
        <v>287.08999999999997</v>
      </c>
      <c r="F51" s="48">
        <v>287.08999999999997</v>
      </c>
      <c r="G51">
        <v>2221000</v>
      </c>
      <c r="H51" s="10">
        <f>IF(tbl_HD[[#This Row],[Date]]=$A$5, $F51, EMA_Beta*$H50 + (1-EMA_Beta)*$F51)</f>
        <v>281.05538636660282</v>
      </c>
      <c r="I51" s="46">
        <f ca="1">IF(tbl_HD[[#This Row],[RS]]= "", "", 100-(100/(1+tbl_HD[[#This Row],[RS]])))</f>
        <v>76.865109269027897</v>
      </c>
      <c r="J51" s="10">
        <f ca="1">IF(ROW($N51)-4&lt;BB_Periods, "", AVERAGE(INDIRECT(ADDRESS(ROW($F51)-RSI_Periods +1, MATCH("Adj Close", Price_Header,0))): INDIRECT(ADDRESS(ROW($F51),MATCH("Adj Close", Price_Header,0)))))</f>
        <v>280.27071428571429</v>
      </c>
      <c r="K51" s="127">
        <f ca="1">IF(tbl_HD[[#This Row],[BB_Mean]]="", "", tbl_HD[[#This Row],[BB_Mean]]+(BB_Width*tbl_HD[[#This Row],[BB_Stdev]]))</f>
        <v>293.25614627529569</v>
      </c>
      <c r="L51" s="127">
        <f ca="1">IF(tbl_HD[[#This Row],[BB_Mean]]="", "", tbl_HD[[#This Row],[BB_Mean]]-(BB_Width*tbl_HD[[#This Row],[BB_Stdev]]))</f>
        <v>267.28528229613289</v>
      </c>
      <c r="M51" s="46">
        <f>IF(ROW(tbl_HD[[#This Row],[Adj Close]])=5, 0, $F51-$F50)</f>
        <v>-3.2700000000000387</v>
      </c>
      <c r="N51" s="46">
        <f>MAX(tbl_HD[[#This Row],[Move]],0)</f>
        <v>0</v>
      </c>
      <c r="O51" s="46">
        <f>MAX(-tbl_HD[[#This Row],[Move]],0)</f>
        <v>3.2700000000000387</v>
      </c>
      <c r="P51" s="46">
        <f ca="1">IF(ROW($N51)-5&lt;RSI_Periods, "", AVERAGE(INDIRECT(ADDRESS(ROW($N51)-RSI_Periods +1, MATCH("Upmove", Price_Header,0))): INDIRECT(ADDRESS(ROW($N51),MATCH("Upmove", Price_Header,0)))))</f>
        <v>2.1857142857142833</v>
      </c>
      <c r="Q51" s="46">
        <f ca="1">IF(ROW($O51)-5&lt;RSI_Periods, "", AVERAGE(INDIRECT(ADDRESS(ROW($O51)-RSI_Periods +1, MATCH("Downmove", Price_Header,0))): INDIRECT(ADDRESS(ROW($O51),MATCH("Downmove", Price_Header,0)))))</f>
        <v>0.65785714285714136</v>
      </c>
      <c r="R51" s="46">
        <f ca="1">IF(tbl_HD[[#This Row],[Avg_Upmove]]="", "", tbl_HD[[#This Row],[Avg_Upmove]]/tbl_HD[[#This Row],[Avg_Downmove]])</f>
        <v>3.322475570032577</v>
      </c>
      <c r="S51" s="10">
        <f ca="1">IF(ROW($N51)-4&lt;BB_Periods, "", _xlfn.STDEV.S(INDIRECT(ADDRESS(ROW($F51)-RSI_Periods +1, MATCH("Adj Close", Price_Header,0))): INDIRECT(ADDRESS(ROW($F51),MATCH("Adj Close", Price_Header,0)))))</f>
        <v>6.4927159947907009</v>
      </c>
    </row>
    <row r="52" spans="1:19" x14ac:dyDescent="0.35">
      <c r="A52" s="8">
        <v>44119</v>
      </c>
      <c r="B52" s="48">
        <v>284.12</v>
      </c>
      <c r="C52" s="48">
        <v>290.25</v>
      </c>
      <c r="D52" s="48">
        <v>283.12</v>
      </c>
      <c r="E52" s="48">
        <v>287.54000000000002</v>
      </c>
      <c r="F52" s="48">
        <v>287.54000000000002</v>
      </c>
      <c r="G52">
        <v>2699400</v>
      </c>
      <c r="H52" s="10">
        <f>IF(tbl_HD[[#This Row],[Date]]=$A$5, $F52, EMA_Beta*$H51 + (1-EMA_Beta)*$F52)</f>
        <v>281.70384772994254</v>
      </c>
      <c r="I52" s="46">
        <f ca="1">IF(tbl_HD[[#This Row],[RS]]= "", "", 100-(100/(1+tbl_HD[[#This Row],[RS]])))</f>
        <v>75.380914194065781</v>
      </c>
      <c r="J52" s="10">
        <f ca="1">IF(ROW($N52)-4&lt;BB_Periods, "", AVERAGE(INDIRECT(ADDRESS(ROW($F52)-RSI_Periods +1, MATCH("Adj Close", Price_Header,0))): INDIRECT(ADDRESS(ROW($F52),MATCH("Adj Close", Price_Header,0)))))</f>
        <v>281.62714285714287</v>
      </c>
      <c r="K52" s="127">
        <f ca="1">IF(tbl_HD[[#This Row],[BB_Mean]]="", "", tbl_HD[[#This Row],[BB_Mean]]+(BB_Width*tbl_HD[[#This Row],[BB_Stdev]]))</f>
        <v>293.23255917505617</v>
      </c>
      <c r="L52" s="127">
        <f ca="1">IF(tbl_HD[[#This Row],[BB_Mean]]="", "", tbl_HD[[#This Row],[BB_Mean]]-(BB_Width*tbl_HD[[#This Row],[BB_Stdev]]))</f>
        <v>270.02172653922958</v>
      </c>
      <c r="M52" s="46">
        <f>IF(ROW(tbl_HD[[#This Row],[Adj Close]])=5, 0, $F52-$F51)</f>
        <v>0.45000000000004547</v>
      </c>
      <c r="N52" s="46">
        <f>MAX(tbl_HD[[#This Row],[Move]],0)</f>
        <v>0.45000000000004547</v>
      </c>
      <c r="O52" s="46">
        <f>MAX(-tbl_HD[[#This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2.0142857142857133</v>
      </c>
      <c r="Q52" s="46">
        <f ca="1">IF(ROW($O52)-5&lt;RSI_Periods, "", AVERAGE(INDIRECT(ADDRESS(ROW($O52)-RSI_Periods +1, MATCH("Downmove", Price_Header,0))): INDIRECT(ADDRESS(ROW($O52),MATCH("Downmove", Price_Header,0)))))</f>
        <v>0.65785714285714136</v>
      </c>
      <c r="R52" s="46">
        <f ca="1">IF(tbl_HD[[#This Row],[Avg_Upmove]]="", "", tbl_HD[[#This Row],[Avg_Upmove]]/tbl_HD[[#This Row],[Avg_Downmove]])</f>
        <v>3.0618892508143376</v>
      </c>
      <c r="S52" s="10">
        <f ca="1">IF(ROW($N52)-4&lt;BB_Periods, "", _xlfn.STDEV.S(INDIRECT(ADDRESS(ROW($F52)-RSI_Periods +1, MATCH("Adj Close", Price_Header,0))): INDIRECT(ADDRESS(ROW($F52),MATCH("Adj Close", Price_Header,0)))))</f>
        <v>5.8027081589566443</v>
      </c>
    </row>
    <row r="53" spans="1:19" x14ac:dyDescent="0.35">
      <c r="A53" s="8">
        <v>44120</v>
      </c>
      <c r="B53" s="48">
        <v>288.25</v>
      </c>
      <c r="C53" s="48">
        <v>292.64999999999998</v>
      </c>
      <c r="D53" s="48">
        <v>287.25</v>
      </c>
      <c r="E53" s="48">
        <v>287.66000000000003</v>
      </c>
      <c r="F53" s="48">
        <v>287.66000000000003</v>
      </c>
      <c r="G53">
        <v>3108600</v>
      </c>
      <c r="H53" s="10">
        <f>IF(tbl_HD[[#This Row],[Date]]=$A$5, $F53, EMA_Beta*$H52 + (1-EMA_Beta)*$F53)</f>
        <v>282.29946295694828</v>
      </c>
      <c r="I53" s="46">
        <f ca="1">IF(tbl_HD[[#This Row],[RS]]= "", "", 100-(100/(1+tbl_HD[[#This Row],[RS]])))</f>
        <v>72.711111111111165</v>
      </c>
      <c r="J53" s="10">
        <f ca="1">IF(ROW($N53)-4&lt;BB_Periods, "", AVERAGE(INDIRECT(ADDRESS(ROW($F53)-RSI_Periods +1, MATCH("Adj Close", Price_Header,0))): INDIRECT(ADDRESS(ROW($F53),MATCH("Adj Close", Price_Header,0)))))</f>
        <v>282.72214285714284</v>
      </c>
      <c r="K53" s="127">
        <f ca="1">IF(tbl_HD[[#This Row],[BB_Mean]]="", "", tbl_HD[[#This Row],[BB_Mean]]+(BB_Width*tbl_HD[[#This Row],[BB_Stdev]]))</f>
        <v>293.40499231444926</v>
      </c>
      <c r="L53" s="127">
        <f ca="1">IF(tbl_HD[[#This Row],[BB_Mean]]="", "", tbl_HD[[#This Row],[BB_Mean]]-(BB_Width*tbl_HD[[#This Row],[BB_Stdev]]))</f>
        <v>272.03929339983642</v>
      </c>
      <c r="M53" s="46">
        <f>IF(ROW(tbl_HD[[#This Row],[Adj Close]])=5, 0, $F53-$F52)</f>
        <v>0.12000000000000455</v>
      </c>
      <c r="N53" s="46">
        <f>MAX(tbl_HD[[#This Row],[Move]],0)</f>
        <v>0.12000000000000455</v>
      </c>
      <c r="O53" s="46">
        <f>MAX(-tbl_HD[[#This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1.7528571428571442</v>
      </c>
      <c r="Q53" s="46">
        <f ca="1">IF(ROW($O53)-5&lt;RSI_Periods, "", AVERAGE(INDIRECT(ADDRESS(ROW($O53)-RSI_Periods +1, MATCH("Downmove", Price_Header,0))): INDIRECT(ADDRESS(ROW($O53),MATCH("Downmove", Price_Header,0)))))</f>
        <v>0.65785714285714136</v>
      </c>
      <c r="R53" s="46">
        <f ca="1">IF(tbl_HD[[#This Row],[Avg_Upmove]]="", "", tbl_HD[[#This Row],[Avg_Upmove]]/tbl_HD[[#This Row],[Avg_Downmove]])</f>
        <v>2.6644951140065229</v>
      </c>
      <c r="S53" s="10">
        <f ca="1">IF(ROW($N53)-4&lt;BB_Periods, "", _xlfn.STDEV.S(INDIRECT(ADDRESS(ROW($F53)-RSI_Periods +1, MATCH("Adj Close", Price_Header,0))): INDIRECT(ADDRESS(ROW($F53),MATCH("Adj Close", Price_Header,0)))))</f>
        <v>5.3414247286532222</v>
      </c>
    </row>
    <row r="54" spans="1:19" x14ac:dyDescent="0.35">
      <c r="A54" s="8">
        <v>44123</v>
      </c>
      <c r="B54" s="48">
        <v>289.76</v>
      </c>
      <c r="C54" s="48">
        <v>290.11</v>
      </c>
      <c r="D54" s="48">
        <v>283.91000000000003</v>
      </c>
      <c r="E54" s="48">
        <v>284.95999999999998</v>
      </c>
      <c r="F54" s="48">
        <v>284.95999999999998</v>
      </c>
      <c r="G54">
        <v>1437777</v>
      </c>
      <c r="H54" s="10">
        <f>IF(tbl_HD[[#This Row],[Date]]=$A$5, $F54, EMA_Beta*$H53 + (1-EMA_Beta)*$F54)</f>
        <v>282.56551666125347</v>
      </c>
      <c r="I54" s="46">
        <f ca="1">IF(tbl_HD[[#This Row],[RS]]= "", "", 100-(100/(1+tbl_HD[[#This Row],[RS]])))</f>
        <v>67.733922163952442</v>
      </c>
      <c r="J54" s="10">
        <f ca="1">IF(ROW($N54)-4&lt;BB_Periods, "", AVERAGE(INDIRECT(ADDRESS(ROW($F54)-RSI_Periods +1, MATCH("Adj Close", Price_Header,0))): INDIRECT(ADDRESS(ROW($F54),MATCH("Adj Close", Price_Header,0)))))</f>
        <v>283.64</v>
      </c>
      <c r="K54" s="127">
        <f ca="1">IF(tbl_HD[[#This Row],[BB_Mean]]="", "", tbl_HD[[#This Row],[BB_Mean]]+(BB_Width*tbl_HD[[#This Row],[BB_Stdev]]))</f>
        <v>292.43679312197173</v>
      </c>
      <c r="L54" s="127">
        <f ca="1">IF(tbl_HD[[#This Row],[BB_Mean]]="", "", tbl_HD[[#This Row],[BB_Mean]]-(BB_Width*tbl_HD[[#This Row],[BB_Stdev]]))</f>
        <v>274.84320687802824</v>
      </c>
      <c r="M54" s="46">
        <f>IF(ROW(tbl_HD[[#This Row],[Adj Close]])=5, 0, $F54-$F53)</f>
        <v>-2.7000000000000455</v>
      </c>
      <c r="N54" s="46">
        <f>MAX(tbl_HD[[#This Row],[Move]],0)</f>
        <v>0</v>
      </c>
      <c r="O54" s="46">
        <f>MAX(-tbl_HD[[#This Row],[Move]],0)</f>
        <v>2.7000000000000455</v>
      </c>
      <c r="P54" s="46">
        <f ca="1">IF(ROW($N54)-5&lt;RSI_Periods, "", AVERAGE(INDIRECT(ADDRESS(ROW($N54)-RSI_Periods +1, MATCH("Upmove", Price_Header,0))): INDIRECT(ADDRESS(ROW($N54),MATCH("Upmove", Price_Header,0)))))</f>
        <v>1.7528571428571442</v>
      </c>
      <c r="Q54" s="46">
        <f ca="1">IF(ROW($O54)-5&lt;RSI_Periods, "", AVERAGE(INDIRECT(ADDRESS(ROW($O54)-RSI_Periods +1, MATCH("Downmove", Price_Header,0))): INDIRECT(ADDRESS(ROW($O54),MATCH("Downmove", Price_Header,0)))))</f>
        <v>0.83500000000000385</v>
      </c>
      <c r="R54" s="46">
        <f ca="1">IF(tbl_HD[[#This Row],[Avg_Upmove]]="", "", tbl_HD[[#This Row],[Avg_Upmove]]/tbl_HD[[#This Row],[Avg_Downmove]])</f>
        <v>2.0992301112061509</v>
      </c>
      <c r="S54" s="10">
        <f ca="1">IF(ROW($N54)-4&lt;BB_Periods, "", _xlfn.STDEV.S(INDIRECT(ADDRESS(ROW($F54)-RSI_Periods +1, MATCH("Adj Close", Price_Header,0))): INDIRECT(ADDRESS(ROW($F54),MATCH("Adj Close", Price_Header,0)))))</f>
        <v>4.3983965609858693</v>
      </c>
    </row>
    <row r="55" spans="1:19" x14ac:dyDescent="0.35">
      <c r="A55" s="8">
        <v>44124</v>
      </c>
      <c r="B55" s="48">
        <v>285.14</v>
      </c>
      <c r="C55" s="48">
        <v>289.79000000000002</v>
      </c>
      <c r="D55" s="48">
        <v>284.13</v>
      </c>
      <c r="E55" s="48">
        <v>286.04000000000002</v>
      </c>
      <c r="F55" s="48">
        <v>286.04000000000002</v>
      </c>
      <c r="G55">
        <v>2281500</v>
      </c>
      <c r="H55" s="10">
        <f>IF(tbl_HD[[#This Row],[Date]]=$A$5, $F55, EMA_Beta*$H54 + (1-EMA_Beta)*$F55)</f>
        <v>282.91296499512811</v>
      </c>
      <c r="I55" s="46">
        <f ca="1">IF(tbl_HD[[#This Row],[RS]]= "", "", 100-(100/(1+tbl_HD[[#This Row],[RS]])))</f>
        <v>63.1346578366446</v>
      </c>
      <c r="J55" s="10">
        <f ca="1">IF(ROW($N55)-4&lt;BB_Periods, "", AVERAGE(INDIRECT(ADDRESS(ROW($F55)-RSI_Periods +1, MATCH("Adj Close", Price_Header,0))): INDIRECT(ADDRESS(ROW($F55),MATCH("Adj Close", Price_Header,0)))))</f>
        <v>284.23500000000001</v>
      </c>
      <c r="K55" s="127">
        <f ca="1">IF(tbl_HD[[#This Row],[BB_Mean]]="", "", tbl_HD[[#This Row],[BB_Mean]]+(BB_Width*tbl_HD[[#This Row],[BB_Stdev]]))</f>
        <v>292.40879207730887</v>
      </c>
      <c r="L55" s="127">
        <f ca="1">IF(tbl_HD[[#This Row],[BB_Mean]]="", "", tbl_HD[[#This Row],[BB_Mean]]-(BB_Width*tbl_HD[[#This Row],[BB_Stdev]]))</f>
        <v>276.06120792269115</v>
      </c>
      <c r="M55" s="46">
        <f>IF(ROW(tbl_HD[[#This Row],[Adj Close]])=5, 0, $F55-$F54)</f>
        <v>1.0800000000000409</v>
      </c>
      <c r="N55" s="46">
        <f>MAX(tbl_HD[[#This Row],[Move]],0)</f>
        <v>1.0800000000000409</v>
      </c>
      <c r="O55" s="46">
        <f>MAX(-tbl_HD[[#This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1.4300000000000068</v>
      </c>
      <c r="Q55" s="46">
        <f ca="1">IF(ROW($O55)-5&lt;RSI_Periods, "", AVERAGE(INDIRECT(ADDRESS(ROW($O55)-RSI_Periods +1, MATCH("Downmove", Price_Header,0))): INDIRECT(ADDRESS(ROW($O55),MATCH("Downmove", Price_Header,0)))))</f>
        <v>0.83500000000000385</v>
      </c>
      <c r="R55" s="46">
        <f ca="1">IF(tbl_HD[[#This Row],[Avg_Upmove]]="", "", tbl_HD[[#This Row],[Avg_Upmove]]/tbl_HD[[#This Row],[Avg_Downmove]])</f>
        <v>1.7125748502994014</v>
      </c>
      <c r="S55" s="10">
        <f ca="1">IF(ROW($N55)-4&lt;BB_Periods, "", _xlfn.STDEV.S(INDIRECT(ADDRESS(ROW($F55)-RSI_Periods +1, MATCH("Adj Close", Price_Header,0))): INDIRECT(ADDRESS(ROW($F55),MATCH("Adj Close", Price_Header,0)))))</f>
        <v>4.086896038654424</v>
      </c>
    </row>
    <row r="56" spans="1:19" x14ac:dyDescent="0.35">
      <c r="A56" s="8">
        <v>44125</v>
      </c>
      <c r="B56" s="48">
        <v>285.39</v>
      </c>
      <c r="C56" s="48">
        <v>288.02</v>
      </c>
      <c r="D56" s="48">
        <v>283.27999999999997</v>
      </c>
      <c r="E56" s="48">
        <v>284.51</v>
      </c>
      <c r="F56" s="48">
        <v>284.51</v>
      </c>
      <c r="G56">
        <v>2304500</v>
      </c>
      <c r="H56" s="10">
        <f>IF(tbl_HD[[#This Row],[Date]]=$A$5, $F56, EMA_Beta*$H55 + (1-EMA_Beta)*$F56)</f>
        <v>283.07266849561529</v>
      </c>
      <c r="I56" s="46">
        <f ca="1">IF(tbl_HD[[#This Row],[RS]]= "", "", 100-(100/(1+tbl_HD[[#This Row],[RS]])))</f>
        <v>60.392156862745011</v>
      </c>
      <c r="J56" s="10">
        <f ca="1">IF(ROW($N56)-4&lt;BB_Periods, "", AVERAGE(INDIRECT(ADDRESS(ROW($F56)-RSI_Periods +1, MATCH("Adj Close", Price_Header,0))): INDIRECT(ADDRESS(ROW($F56),MATCH("Adj Close", Price_Header,0)))))</f>
        <v>284.72714285714289</v>
      </c>
      <c r="K56" s="127">
        <f ca="1">IF(tbl_HD[[#This Row],[BB_Mean]]="", "", tbl_HD[[#This Row],[BB_Mean]]+(BB_Width*tbl_HD[[#This Row],[BB_Stdev]]))</f>
        <v>291.96086486354693</v>
      </c>
      <c r="L56" s="127">
        <f ca="1">IF(tbl_HD[[#This Row],[BB_Mean]]="", "", tbl_HD[[#This Row],[BB_Mean]]-(BB_Width*tbl_HD[[#This Row],[BB_Stdev]]))</f>
        <v>277.49342085073886</v>
      </c>
      <c r="M56" s="46">
        <f>IF(ROW(tbl_HD[[#This Row],[Adj Close]])=5, 0, $F56-$F55)</f>
        <v>-1.5300000000000296</v>
      </c>
      <c r="N56" s="46">
        <f>MAX(tbl_HD[[#This Row],[Move]],0)</f>
        <v>0</v>
      </c>
      <c r="O56" s="46">
        <f>MAX(-tbl_HD[[#This Row],[Move]],0)</f>
        <v>1.5300000000000296</v>
      </c>
      <c r="P56" s="46">
        <f ca="1">IF(ROW($N56)-5&lt;RSI_Periods, "", AVERAGE(INDIRECT(ADDRESS(ROW($N56)-RSI_Periods +1, MATCH("Upmove", Price_Header,0))): INDIRECT(ADDRESS(ROW($N56),MATCH("Upmove", Price_Header,0)))))</f>
        <v>1.4300000000000068</v>
      </c>
      <c r="Q56" s="46">
        <f ca="1">IF(ROW($O56)-5&lt;RSI_Periods, "", AVERAGE(INDIRECT(ADDRESS(ROW($O56)-RSI_Periods +1, MATCH("Downmove", Price_Header,0))): INDIRECT(ADDRESS(ROW($O56),MATCH("Downmove", Price_Header,0)))))</f>
        <v>0.93785714285715061</v>
      </c>
      <c r="R56" s="46">
        <f ca="1">IF(tbl_HD[[#This Row],[Avg_Upmove]]="", "", tbl_HD[[#This Row],[Avg_Upmove]]/tbl_HD[[#This Row],[Avg_Downmove]])</f>
        <v>1.5247524752475194</v>
      </c>
      <c r="S56" s="10">
        <f ca="1">IF(ROW($N56)-4&lt;BB_Periods, "", _xlfn.STDEV.S(INDIRECT(ADDRESS(ROW($F56)-RSI_Periods +1, MATCH("Adj Close", Price_Header,0))): INDIRECT(ADDRESS(ROW($F56),MATCH("Adj Close", Price_Header,0)))))</f>
        <v>3.6168610032020179</v>
      </c>
    </row>
    <row r="57" spans="1:19" x14ac:dyDescent="0.35">
      <c r="A57" s="8">
        <v>44126</v>
      </c>
      <c r="B57" s="48">
        <v>283.93</v>
      </c>
      <c r="C57" s="48">
        <v>285.68</v>
      </c>
      <c r="D57" s="48">
        <v>280.64999999999998</v>
      </c>
      <c r="E57" s="48">
        <v>281.16000000000003</v>
      </c>
      <c r="F57" s="48">
        <v>281.16000000000003</v>
      </c>
      <c r="G57">
        <v>2787000</v>
      </c>
      <c r="H57" s="10">
        <f>IF(tbl_HD[[#This Row],[Date]]=$A$5, $F57, EMA_Beta*$H56 + (1-EMA_Beta)*$F57)</f>
        <v>282.88140164605375</v>
      </c>
      <c r="I57" s="46">
        <f ca="1">IF(tbl_HD[[#This Row],[RS]]= "", "", 100-(100/(1+tbl_HD[[#This Row],[RS]])))</f>
        <v>52.6572823901178</v>
      </c>
      <c r="J57" s="10">
        <f ca="1">IF(ROW($N57)-4&lt;BB_Periods, "", AVERAGE(INDIRECT(ADDRESS(ROW($F57)-RSI_Periods +1, MATCH("Adj Close", Price_Header,0))): INDIRECT(ADDRESS(ROW($F57),MATCH("Adj Close", Price_Header,0)))))</f>
        <v>284.8592857142857</v>
      </c>
      <c r="K57" s="127">
        <f ca="1">IF(tbl_HD[[#This Row],[BB_Mean]]="", "", tbl_HD[[#This Row],[BB_Mean]]+(BB_Width*tbl_HD[[#This Row],[BB_Stdev]]))</f>
        <v>291.72495264602526</v>
      </c>
      <c r="L57" s="127">
        <f ca="1">IF(tbl_HD[[#This Row],[BB_Mean]]="", "", tbl_HD[[#This Row],[BB_Mean]]-(BB_Width*tbl_HD[[#This Row],[BB_Stdev]]))</f>
        <v>277.99361878254615</v>
      </c>
      <c r="M57" s="46">
        <f>IF(ROW(tbl_HD[[#This Row],[Adj Close]])=5, 0, $F57-$F56)</f>
        <v>-3.3499999999999659</v>
      </c>
      <c r="N57" s="46">
        <f>MAX(tbl_HD[[#This Row],[Move]],0)</f>
        <v>0</v>
      </c>
      <c r="O57" s="46">
        <f>MAX(-tbl_HD[[#This Row],[Move]],0)</f>
        <v>3.3499999999999659</v>
      </c>
      <c r="P57" s="46">
        <f ca="1">IF(ROW($N57)-5&lt;RSI_Periods, "", AVERAGE(INDIRECT(ADDRESS(ROW($N57)-RSI_Periods +1, MATCH("Upmove", Price_Header,0))): INDIRECT(ADDRESS(ROW($N57),MATCH("Upmove", Price_Header,0)))))</f>
        <v>1.3092857142857213</v>
      </c>
      <c r="Q57" s="46">
        <f ca="1">IF(ROW($O57)-5&lt;RSI_Periods, "", AVERAGE(INDIRECT(ADDRESS(ROW($O57)-RSI_Periods +1, MATCH("Downmove", Price_Header,0))): INDIRECT(ADDRESS(ROW($O57),MATCH("Downmove", Price_Header,0)))))</f>
        <v>1.1771428571428626</v>
      </c>
      <c r="R57" s="46">
        <f ca="1">IF(tbl_HD[[#This Row],[Avg_Upmove]]="", "", tbl_HD[[#This Row],[Avg_Upmove]]/tbl_HD[[#This Row],[Avg_Downmove]])</f>
        <v>1.1122572815533989</v>
      </c>
      <c r="S57" s="10">
        <f ca="1">IF(ROW($N57)-4&lt;BB_Periods, "", _xlfn.STDEV.S(INDIRECT(ADDRESS(ROW($F57)-RSI_Periods +1, MATCH("Adj Close", Price_Header,0))): INDIRECT(ADDRESS(ROW($F57),MATCH("Adj Close", Price_Header,0)))))</f>
        <v>3.4328334658697868</v>
      </c>
    </row>
    <row r="58" spans="1:19" x14ac:dyDescent="0.35">
      <c r="A58" s="8">
        <v>44127</v>
      </c>
      <c r="B58" s="48">
        <v>282.38</v>
      </c>
      <c r="C58" s="48">
        <v>283.19</v>
      </c>
      <c r="D58" s="48">
        <v>279.55</v>
      </c>
      <c r="E58" s="48">
        <v>283</v>
      </c>
      <c r="F58" s="48">
        <v>283</v>
      </c>
      <c r="G58">
        <v>1750600</v>
      </c>
      <c r="H58" s="10">
        <f>IF(tbl_HD[[#This Row],[Date]]=$A$5, $F58, EMA_Beta*$H57 + (1-EMA_Beta)*$F58)</f>
        <v>282.89326148144835</v>
      </c>
      <c r="I58" s="46">
        <f ca="1">IF(tbl_HD[[#This Row],[RS]]= "", "", 100-(100/(1+tbl_HD[[#This Row],[RS]])))</f>
        <v>51.329001772002314</v>
      </c>
      <c r="J58" s="10">
        <f ca="1">IF(ROW($N58)-4&lt;BB_Periods, "", AVERAGE(INDIRECT(ADDRESS(ROW($F58)-RSI_Periods +1, MATCH("Adj Close", Price_Header,0))): INDIRECT(ADDRESS(ROW($F58),MATCH("Adj Close", Price_Header,0)))))</f>
        <v>284.92357142857145</v>
      </c>
      <c r="K58" s="127">
        <f ca="1">IF(tbl_HD[[#This Row],[BB_Mean]]="", "", tbl_HD[[#This Row],[BB_Mean]]+(BB_Width*tbl_HD[[#This Row],[BB_Stdev]]))</f>
        <v>291.69413944084272</v>
      </c>
      <c r="L58" s="127">
        <f ca="1">IF(tbl_HD[[#This Row],[BB_Mean]]="", "", tbl_HD[[#This Row],[BB_Mean]]-(BB_Width*tbl_HD[[#This Row],[BB_Stdev]]))</f>
        <v>278.15300341630018</v>
      </c>
      <c r="M58" s="46">
        <f>IF(ROW(tbl_HD[[#This Row],[Adj Close]])=5, 0, $F58-$F57)</f>
        <v>1.839999999999975</v>
      </c>
      <c r="N58" s="46">
        <f>MAX(tbl_HD[[#This Row],[Move]],0)</f>
        <v>1.839999999999975</v>
      </c>
      <c r="O58" s="46">
        <f>MAX(-tbl_HD[[#This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1.2414285714285751</v>
      </c>
      <c r="Q58" s="46">
        <f ca="1">IF(ROW($O58)-5&lt;RSI_Periods, "", AVERAGE(INDIRECT(ADDRESS(ROW($O58)-RSI_Periods +1, MATCH("Downmove", Price_Header,0))): INDIRECT(ADDRESS(ROW($O58),MATCH("Downmove", Price_Header,0)))))</f>
        <v>1.1771428571428626</v>
      </c>
      <c r="R58" s="46">
        <f ca="1">IF(tbl_HD[[#This Row],[Avg_Upmove]]="", "", tbl_HD[[#This Row],[Avg_Upmove]]/tbl_HD[[#This Row],[Avg_Downmove]])</f>
        <v>1.054611650485435</v>
      </c>
      <c r="S58" s="10">
        <f ca="1">IF(ROW($N58)-4&lt;BB_Periods, "", _xlfn.STDEV.S(INDIRECT(ADDRESS(ROW($F58)-RSI_Periods +1, MATCH("Adj Close", Price_Header,0))): INDIRECT(ADDRESS(ROW($F58),MATCH("Adj Close", Price_Header,0)))))</f>
        <v>3.3852840061356422</v>
      </c>
    </row>
    <row r="59" spans="1:19" x14ac:dyDescent="0.35">
      <c r="A59" s="8">
        <v>44130</v>
      </c>
      <c r="B59" s="48">
        <v>279.64</v>
      </c>
      <c r="C59" s="48">
        <v>281.52999999999997</v>
      </c>
      <c r="D59" s="48">
        <v>272</v>
      </c>
      <c r="E59" s="48">
        <v>276.04000000000002</v>
      </c>
      <c r="F59" s="48">
        <v>276.04000000000002</v>
      </c>
      <c r="G59">
        <v>2911900</v>
      </c>
      <c r="H59" s="10">
        <f>IF(tbl_HD[[#This Row],[Date]]=$A$5, $F59, EMA_Beta*$H58 + (1-EMA_Beta)*$F59)</f>
        <v>282.20793533330351</v>
      </c>
      <c r="I59" s="46">
        <f ca="1">IF(tbl_HD[[#This Row],[RS]]= "", "", 100-(100/(1+tbl_HD[[#This Row],[RS]])))</f>
        <v>49.38903097470871</v>
      </c>
      <c r="J59" s="10">
        <f ca="1">IF(ROW($N59)-4&lt;BB_Periods, "", AVERAGE(INDIRECT(ADDRESS(ROW($F59)-RSI_Periods +1, MATCH("Adj Close", Price_Header,0))): INDIRECT(ADDRESS(ROW($F59),MATCH("Adj Close", Price_Header,0)))))</f>
        <v>284.89285714285717</v>
      </c>
      <c r="K59" s="127">
        <f ca="1">IF(tbl_HD[[#This Row],[BB_Mean]]="", "", tbl_HD[[#This Row],[BB_Mean]]+(BB_Width*tbl_HD[[#This Row],[BB_Stdev]]))</f>
        <v>291.83046226531582</v>
      </c>
      <c r="L59" s="127">
        <f ca="1">IF(tbl_HD[[#This Row],[BB_Mean]]="", "", tbl_HD[[#This Row],[BB_Mean]]-(BB_Width*tbl_HD[[#This Row],[BB_Stdev]]))</f>
        <v>277.95525202039852</v>
      </c>
      <c r="M59" s="46">
        <f>IF(ROW(tbl_HD[[#This Row],[Adj Close]])=5, 0, $F59-$F58)</f>
        <v>-6.9599999999999795</v>
      </c>
      <c r="N59" s="46">
        <f>MAX(tbl_HD[[#This Row],[Move]],0)</f>
        <v>0</v>
      </c>
      <c r="O59" s="46">
        <f>MAX(-tbl_HD[[#This Row],[Move]],0)</f>
        <v>6.9599999999999795</v>
      </c>
      <c r="P59" s="46">
        <f ca="1">IF(ROW($N59)-5&lt;RSI_Periods, "", AVERAGE(INDIRECT(ADDRESS(ROW($N59)-RSI_Periods +1, MATCH("Upmove", Price_Header,0))): INDIRECT(ADDRESS(ROW($N59),MATCH("Upmove", Price_Header,0)))))</f>
        <v>1.2414285714285751</v>
      </c>
      <c r="Q59" s="46">
        <f ca="1">IF(ROW($O59)-5&lt;RSI_Periods, "", AVERAGE(INDIRECT(ADDRESS(ROW($O59)-RSI_Periods +1, MATCH("Downmove", Price_Header,0))): INDIRECT(ADDRESS(ROW($O59),MATCH("Downmove", Price_Header,0)))))</f>
        <v>1.2721428571428615</v>
      </c>
      <c r="R59" s="46">
        <f ca="1">IF(tbl_HD[[#This Row],[Avg_Upmove]]="", "", tbl_HD[[#This Row],[Avg_Upmove]]/tbl_HD[[#This Row],[Avg_Downmove]])</f>
        <v>0.97585626052779295</v>
      </c>
      <c r="S59" s="10">
        <f ca="1">IF(ROW($N59)-4&lt;BB_Periods, "", _xlfn.STDEV.S(INDIRECT(ADDRESS(ROW($F59)-RSI_Periods +1, MATCH("Adj Close", Price_Header,0))): INDIRECT(ADDRESS(ROW($F59),MATCH("Adj Close", Price_Header,0)))))</f>
        <v>3.4688025612293356</v>
      </c>
    </row>
    <row r="60" spans="1:19" x14ac:dyDescent="0.35">
      <c r="A60" s="8">
        <v>44131</v>
      </c>
      <c r="B60" s="48">
        <v>276.99</v>
      </c>
      <c r="C60" s="48">
        <v>279.73</v>
      </c>
      <c r="D60" s="48">
        <v>276.12</v>
      </c>
      <c r="E60" s="48">
        <v>276.83999999999997</v>
      </c>
      <c r="F60" s="48">
        <v>276.83999999999997</v>
      </c>
      <c r="G60">
        <v>3014100</v>
      </c>
      <c r="H60" s="10">
        <f>IF(tbl_HD[[#This Row],[Date]]=$A$5, $F60, EMA_Beta*$H59 + (1-EMA_Beta)*$F60)</f>
        <v>281.67114179997316</v>
      </c>
      <c r="I60" s="46">
        <f ca="1">IF(tbl_HD[[#This Row],[RS]]= "", "", 100-(100/(1+tbl_HD[[#This Row],[RS]])))</f>
        <v>39.973036737445177</v>
      </c>
      <c r="J60" s="10">
        <f ca="1">IF(ROW($N60)-4&lt;BB_Periods, "", AVERAGE(INDIRECT(ADDRESS(ROW($F60)-RSI_Periods +1, MATCH("Adj Close", Price_Header,0))): INDIRECT(ADDRESS(ROW($F60),MATCH("Adj Close", Price_Header,0)))))</f>
        <v>284.46785714285716</v>
      </c>
      <c r="K60" s="127">
        <f ca="1">IF(tbl_HD[[#This Row],[BB_Mean]]="", "", tbl_HD[[#This Row],[BB_Mean]]+(BB_Width*tbl_HD[[#This Row],[BB_Stdev]]))</f>
        <v>292.58851334435082</v>
      </c>
      <c r="L60" s="127">
        <f ca="1">IF(tbl_HD[[#This Row],[BB_Mean]]="", "", tbl_HD[[#This Row],[BB_Mean]]-(BB_Width*tbl_HD[[#This Row],[BB_Stdev]]))</f>
        <v>276.3472009413635</v>
      </c>
      <c r="M60" s="46">
        <f>IF(ROW(tbl_HD[[#This Row],[Adj Close]])=5, 0, $F60-$F59)</f>
        <v>0.79999999999995453</v>
      </c>
      <c r="N60" s="46">
        <f>MAX(tbl_HD[[#This Row],[Move]],0)</f>
        <v>0.79999999999995453</v>
      </c>
      <c r="O60" s="46">
        <f>MAX(-tbl_HD[[#This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0.84714285714285809</v>
      </c>
      <c r="Q60" s="46">
        <f ca="1">IF(ROW($O60)-5&lt;RSI_Periods, "", AVERAGE(INDIRECT(ADDRESS(ROW($O60)-RSI_Periods +1, MATCH("Downmove", Price_Header,0))): INDIRECT(ADDRESS(ROW($O60),MATCH("Downmove", Price_Header,0)))))</f>
        <v>1.2721428571428615</v>
      </c>
      <c r="R60" s="46">
        <f ca="1">IF(tbl_HD[[#This Row],[Avg_Upmove]]="", "", tbl_HD[[#This Row],[Avg_Upmove]]/tbl_HD[[#This Row],[Avg_Downmove]])</f>
        <v>0.6659180235822556</v>
      </c>
      <c r="S60" s="10">
        <f ca="1">IF(ROW($N60)-4&lt;BB_Periods, "", _xlfn.STDEV.S(INDIRECT(ADDRESS(ROW($F60)-RSI_Periods +1, MATCH("Adj Close", Price_Header,0))): INDIRECT(ADDRESS(ROW($F60),MATCH("Adj Close", Price_Header,0)))))</f>
        <v>4.0603281007468244</v>
      </c>
    </row>
    <row r="61" spans="1:19" x14ac:dyDescent="0.35">
      <c r="A61" s="8">
        <v>44132</v>
      </c>
      <c r="B61" s="48">
        <v>270.25</v>
      </c>
      <c r="C61" s="48">
        <v>273.67</v>
      </c>
      <c r="D61" s="48">
        <v>268.69</v>
      </c>
      <c r="E61" s="48">
        <v>269.72000000000003</v>
      </c>
      <c r="F61" s="48">
        <v>269.72000000000003</v>
      </c>
      <c r="G61">
        <v>3255900</v>
      </c>
      <c r="H61" s="10">
        <f>IF(tbl_HD[[#This Row],[Date]]=$A$5, $F61, EMA_Beta*$H60 + (1-EMA_Beta)*$F61)</f>
        <v>280.47602761997587</v>
      </c>
      <c r="I61" s="46">
        <f ca="1">IF(tbl_HD[[#This Row],[RS]]= "", "", 100-(100/(1+tbl_HD[[#This Row],[RS]])))</f>
        <v>28.893325727324694</v>
      </c>
      <c r="J61" s="10">
        <f ca="1">IF(ROW($N61)-4&lt;BB_Periods, "", AVERAGE(INDIRECT(ADDRESS(ROW($F61)-RSI_Periods +1, MATCH("Adj Close", Price_Header,0))): INDIRECT(ADDRESS(ROW($F61),MATCH("Adj Close", Price_Header,0)))))</f>
        <v>283.41071428571428</v>
      </c>
      <c r="K61" s="127">
        <f ca="1">IF(tbl_HD[[#This Row],[BB_Mean]]="", "", tbl_HD[[#This Row],[BB_Mean]]+(BB_Width*tbl_HD[[#This Row],[BB_Stdev]]))</f>
        <v>294.72676541615783</v>
      </c>
      <c r="L61" s="127">
        <f ca="1">IF(tbl_HD[[#This Row],[BB_Mean]]="", "", tbl_HD[[#This Row],[BB_Mean]]-(BB_Width*tbl_HD[[#This Row],[BB_Stdev]]))</f>
        <v>272.09466315527072</v>
      </c>
      <c r="M61" s="46">
        <f>IF(ROW(tbl_HD[[#This Row],[Adj Close]])=5, 0, $F61-$F60)</f>
        <v>-7.1199999999999477</v>
      </c>
      <c r="N61" s="46">
        <f>MAX(tbl_HD[[#This Row],[Move]],0)</f>
        <v>0</v>
      </c>
      <c r="O61" s="46">
        <f>MAX(-tbl_HD[[#This Row],[Move]],0)</f>
        <v>7.1199999999999477</v>
      </c>
      <c r="P61" s="46">
        <f ca="1">IF(ROW($N61)-5&lt;RSI_Periods, "", AVERAGE(INDIRECT(ADDRESS(ROW($N61)-RSI_Periods +1, MATCH("Upmove", Price_Header,0))): INDIRECT(ADDRESS(ROW($N61),MATCH("Upmove", Price_Header,0)))))</f>
        <v>0.72357142857143231</v>
      </c>
      <c r="Q61" s="46">
        <f ca="1">IF(ROW($O61)-5&lt;RSI_Periods, "", AVERAGE(INDIRECT(ADDRESS(ROW($O61)-RSI_Periods +1, MATCH("Downmove", Price_Header,0))): INDIRECT(ADDRESS(ROW($O61),MATCH("Downmove", Price_Header,0)))))</f>
        <v>1.7807142857142861</v>
      </c>
      <c r="R61" s="46">
        <f ca="1">IF(tbl_HD[[#This Row],[Avg_Upmove]]="", "", tbl_HD[[#This Row],[Avg_Upmove]]/tbl_HD[[#This Row],[Avg_Downmove]])</f>
        <v>0.40633774568792819</v>
      </c>
      <c r="S61" s="10">
        <f ca="1">IF(ROW($N61)-4&lt;BB_Periods, "", _xlfn.STDEV.S(INDIRECT(ADDRESS(ROW($F61)-RSI_Periods +1, MATCH("Adj Close", Price_Header,0))): INDIRECT(ADDRESS(ROW($F61),MATCH("Adj Close", Price_Header,0)))))</f>
        <v>5.6580255652217835</v>
      </c>
    </row>
    <row r="62" spans="1:19" x14ac:dyDescent="0.35">
      <c r="A62" s="8">
        <v>44133</v>
      </c>
      <c r="B62" s="48">
        <v>269.69</v>
      </c>
      <c r="C62" s="48">
        <v>273.7</v>
      </c>
      <c r="D62" s="48">
        <v>267.31</v>
      </c>
      <c r="E62" s="48">
        <v>269.63</v>
      </c>
      <c r="F62" s="48">
        <v>269.63</v>
      </c>
      <c r="G62">
        <v>2872500</v>
      </c>
      <c r="H62" s="10">
        <f>IF(tbl_HD[[#This Row],[Date]]=$A$5, $F62, EMA_Beta*$H61 + (1-EMA_Beta)*$F62)</f>
        <v>279.39142485797828</v>
      </c>
      <c r="I62" s="46">
        <f ca="1">IF(tbl_HD[[#This Row],[RS]]= "", "", 100-(100/(1+tbl_HD[[#This Row],[RS]])))</f>
        <v>25.866666666666688</v>
      </c>
      <c r="J62" s="10">
        <f ca="1">IF(ROW($N62)-4&lt;BB_Periods, "", AVERAGE(INDIRECT(ADDRESS(ROW($F62)-RSI_Periods +1, MATCH("Adj Close", Price_Header,0))): INDIRECT(ADDRESS(ROW($F62),MATCH("Adj Close", Price_Header,0)))))</f>
        <v>282.24714285714288</v>
      </c>
      <c r="K62" s="127">
        <f ca="1">IF(tbl_HD[[#This Row],[BB_Mean]]="", "", tbl_HD[[#This Row],[BB_Mean]]+(BB_Width*tbl_HD[[#This Row],[BB_Stdev]]))</f>
        <v>295.61563953016872</v>
      </c>
      <c r="L62" s="127">
        <f ca="1">IF(tbl_HD[[#This Row],[BB_Mean]]="", "", tbl_HD[[#This Row],[BB_Mean]]-(BB_Width*tbl_HD[[#This Row],[BB_Stdev]]))</f>
        <v>268.87864618411703</v>
      </c>
      <c r="M62" s="46">
        <f>IF(ROW(tbl_HD[[#This Row],[Adj Close]])=5, 0, $F62-$F61)</f>
        <v>-9.0000000000031832E-2</v>
      </c>
      <c r="N62" s="46">
        <f>MAX(tbl_HD[[#This Row],[Move]],0)</f>
        <v>0</v>
      </c>
      <c r="O62" s="46">
        <f>MAX(-tbl_HD[[#This Row],[Move]],0)</f>
        <v>9.0000000000031832E-2</v>
      </c>
      <c r="P62" s="46">
        <f ca="1">IF(ROW($N62)-5&lt;RSI_Periods, "", AVERAGE(INDIRECT(ADDRESS(ROW($N62)-RSI_Periods +1, MATCH("Upmove", Price_Header,0))): INDIRECT(ADDRESS(ROW($N62),MATCH("Upmove", Price_Header,0)))))</f>
        <v>0.62357142857142989</v>
      </c>
      <c r="Q62" s="46">
        <f ca="1">IF(ROW($O62)-5&lt;RSI_Periods, "", AVERAGE(INDIRECT(ADDRESS(ROW($O62)-RSI_Periods +1, MATCH("Downmove", Price_Header,0))): INDIRECT(ADDRESS(ROW($O62),MATCH("Downmove", Price_Header,0)))))</f>
        <v>1.7871428571428598</v>
      </c>
      <c r="R62" s="46">
        <f ca="1">IF(tbl_HD[[#This Row],[Avg_Upmove]]="", "", tbl_HD[[#This Row],[Avg_Upmove]]/tbl_HD[[#This Row],[Avg_Downmove]])</f>
        <v>0.34892086330935274</v>
      </c>
      <c r="S62" s="10">
        <f ca="1">IF(ROW($N62)-4&lt;BB_Periods, "", _xlfn.STDEV.S(INDIRECT(ADDRESS(ROW($F62)-RSI_Periods +1, MATCH("Adj Close", Price_Header,0))): INDIRECT(ADDRESS(ROW($F62),MATCH("Adj Close", Price_Header,0)))))</f>
        <v>6.684248336512927</v>
      </c>
    </row>
    <row r="63" spans="1:19" x14ac:dyDescent="0.35">
      <c r="A63" s="8">
        <v>44134</v>
      </c>
      <c r="B63" s="48">
        <v>269.82</v>
      </c>
      <c r="C63" s="48">
        <v>269.62</v>
      </c>
      <c r="D63" s="48">
        <v>262.02999999999997</v>
      </c>
      <c r="E63" s="48">
        <v>266.70999999999998</v>
      </c>
      <c r="F63" s="48">
        <v>266.70999999999998</v>
      </c>
      <c r="G63">
        <v>3872800</v>
      </c>
      <c r="H63" s="10">
        <f>IF(tbl_HD[[#This Row],[Date]]=$A$5, $F63, EMA_Beta*$H62 + (1-EMA_Beta)*$F63)</f>
        <v>278.12328237218048</v>
      </c>
      <c r="I63" s="46">
        <f ca="1">IF(tbl_HD[[#This Row],[RS]]= "", "", 100-(100/(1+tbl_HD[[#This Row],[RS]])))</f>
        <v>21.692825112107613</v>
      </c>
      <c r="J63" s="10">
        <f ca="1">IF(ROW($N63)-4&lt;BB_Periods, "", AVERAGE(INDIRECT(ADDRESS(ROW($F63)-RSI_Periods +1, MATCH("Adj Close", Price_Header,0))): INDIRECT(ADDRESS(ROW($F63),MATCH("Adj Close", Price_Header,0)))))</f>
        <v>280.80428571428575</v>
      </c>
      <c r="K63" s="127">
        <f ca="1">IF(tbl_HD[[#This Row],[BB_Mean]]="", "", tbl_HD[[#This Row],[BB_Mean]]+(BB_Width*tbl_HD[[#This Row],[BB_Stdev]]))</f>
        <v>296.21002033943944</v>
      </c>
      <c r="L63" s="127">
        <f ca="1">IF(tbl_HD[[#This Row],[BB_Mean]]="", "", tbl_HD[[#This Row],[BB_Mean]]-(BB_Width*tbl_HD[[#This Row],[BB_Stdev]]))</f>
        <v>265.39855108913207</v>
      </c>
      <c r="M63" s="46">
        <f>IF(ROW(tbl_HD[[#This Row],[Adj Close]])=5, 0, $F63-$F62)</f>
        <v>-2.9200000000000159</v>
      </c>
      <c r="N63" s="46">
        <f>MAX(tbl_HD[[#This Row],[Move]],0)</f>
        <v>0</v>
      </c>
      <c r="O63" s="46">
        <f>MAX(-tbl_HD[[#This Row],[Move]],0)</f>
        <v>2.9200000000000159</v>
      </c>
      <c r="P63" s="46">
        <f ca="1">IF(ROW($N63)-5&lt;RSI_Periods, "", AVERAGE(INDIRECT(ADDRESS(ROW($N63)-RSI_Periods +1, MATCH("Upmove", Price_Header,0))): INDIRECT(ADDRESS(ROW($N63),MATCH("Upmove", Price_Header,0)))))</f>
        <v>0.55285714285714349</v>
      </c>
      <c r="Q63" s="46">
        <f ca="1">IF(ROW($O63)-5&lt;RSI_Periods, "", AVERAGE(INDIRECT(ADDRESS(ROW($O63)-RSI_Periods +1, MATCH("Downmove", Price_Header,0))): INDIRECT(ADDRESS(ROW($O63),MATCH("Downmove", Price_Header,0)))))</f>
        <v>1.9957142857142895</v>
      </c>
      <c r="R63" s="46">
        <f ca="1">IF(tbl_HD[[#This Row],[Avg_Upmove]]="", "", tbl_HD[[#This Row],[Avg_Upmove]]/tbl_HD[[#This Row],[Avg_Downmove]])</f>
        <v>0.27702219040801696</v>
      </c>
      <c r="S63" s="10">
        <f ca="1">IF(ROW($N63)-4&lt;BB_Periods, "", _xlfn.STDEV.S(INDIRECT(ADDRESS(ROW($F63)-RSI_Periods +1, MATCH("Adj Close", Price_Header,0))): INDIRECT(ADDRESS(ROW($F63),MATCH("Adj Close", Price_Header,0)))))</f>
        <v>7.7028673125768483</v>
      </c>
    </row>
    <row r="64" spans="1:19" x14ac:dyDescent="0.35">
      <c r="A64" s="8">
        <v>44137</v>
      </c>
      <c r="B64" s="48">
        <v>270.14999999999998</v>
      </c>
      <c r="C64" s="48">
        <v>274.77999999999997</v>
      </c>
      <c r="D64" s="48">
        <v>268.52</v>
      </c>
      <c r="E64" s="48">
        <v>270.74</v>
      </c>
      <c r="F64" s="48">
        <v>270.74</v>
      </c>
      <c r="G64">
        <v>2956400</v>
      </c>
      <c r="H64" s="10">
        <f>IF(tbl_HD[[#This Row],[Date]]=$A$5, $F64, EMA_Beta*$H63 + (1-EMA_Beta)*$F64)</f>
        <v>277.38495413496241</v>
      </c>
      <c r="I64" s="46">
        <f ca="1">IF(tbl_HD[[#This Row],[RS]]= "", "", 100-(100/(1+tbl_HD[[#This Row],[RS]])))</f>
        <v>22.945394373965868</v>
      </c>
      <c r="J64" s="10">
        <f ca="1">IF(ROW($N64)-4&lt;BB_Periods, "", AVERAGE(INDIRECT(ADDRESS(ROW($F64)-RSI_Periods +1, MATCH("Adj Close", Price_Header,0))): INDIRECT(ADDRESS(ROW($F64),MATCH("Adj Close", Price_Header,0)))))</f>
        <v>279.40285714285716</v>
      </c>
      <c r="K64" s="127">
        <f ca="1">IF(tbl_HD[[#This Row],[BB_Mean]]="", "", tbl_HD[[#This Row],[BB_Mean]]+(BB_Width*tbl_HD[[#This Row],[BB_Stdev]]))</f>
        <v>294.63264865326693</v>
      </c>
      <c r="L64" s="127">
        <f ca="1">IF(tbl_HD[[#This Row],[BB_Mean]]="", "", tbl_HD[[#This Row],[BB_Mean]]-(BB_Width*tbl_HD[[#This Row],[BB_Stdev]]))</f>
        <v>264.17306563244739</v>
      </c>
      <c r="M64" s="46">
        <f>IF(ROW(tbl_HD[[#This Row],[Adj Close]])=5, 0, $F64-$F63)</f>
        <v>4.0300000000000296</v>
      </c>
      <c r="N64" s="46">
        <f>MAX(tbl_HD[[#This Row],[Move]],0)</f>
        <v>4.0300000000000296</v>
      </c>
      <c r="O64" s="46">
        <f>MAX(-tbl_HD[[#This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0.59428571428571786</v>
      </c>
      <c r="Q64" s="46">
        <f ca="1">IF(ROW($O64)-5&lt;RSI_Periods, "", AVERAGE(INDIRECT(ADDRESS(ROW($O64)-RSI_Periods +1, MATCH("Downmove", Price_Header,0))): INDIRECT(ADDRESS(ROW($O64),MATCH("Downmove", Price_Header,0)))))</f>
        <v>1.9957142857142895</v>
      </c>
      <c r="R64" s="46">
        <f ca="1">IF(tbl_HD[[#This Row],[Avg_Upmove]]="", "", tbl_HD[[#This Row],[Avg_Upmove]]/tbl_HD[[#This Row],[Avg_Downmove]])</f>
        <v>0.29778095919828323</v>
      </c>
      <c r="S64" s="10">
        <f ca="1">IF(ROW($N64)-4&lt;BB_Periods, "", _xlfn.STDEV.S(INDIRECT(ADDRESS(ROW($F64)-RSI_Periods +1, MATCH("Adj Close", Price_Header,0))): INDIRECT(ADDRESS(ROW($F64),MATCH("Adj Close", Price_Header,0)))))</f>
        <v>7.6148957552048859</v>
      </c>
    </row>
    <row r="65" spans="1:19" x14ac:dyDescent="0.35">
      <c r="A65" s="8">
        <v>44138</v>
      </c>
      <c r="B65" s="48">
        <v>274.85000000000002</v>
      </c>
      <c r="C65" s="48">
        <v>279.52999999999997</v>
      </c>
      <c r="D65" s="48">
        <v>273.72000000000003</v>
      </c>
      <c r="E65" s="48">
        <v>277.37</v>
      </c>
      <c r="F65" s="48">
        <v>277.37</v>
      </c>
      <c r="G65">
        <v>3037500</v>
      </c>
      <c r="H65" s="10">
        <f>IF(tbl_HD[[#This Row],[Date]]=$A$5, $F65, EMA_Beta*$H64 + (1-EMA_Beta)*$F65)</f>
        <v>277.38345872146618</v>
      </c>
      <c r="I65" s="46">
        <f ca="1">IF(tbl_HD[[#This Row],[RS]]= "", "", 100-(100/(1+tbl_HD[[#This Row],[RS]])))</f>
        <v>37.733467945482133</v>
      </c>
      <c r="J65" s="10">
        <f ca="1">IF(ROW($N65)-4&lt;BB_Periods, "", AVERAGE(INDIRECT(ADDRESS(ROW($F65)-RSI_Periods +1, MATCH("Adj Close", Price_Header,0))): INDIRECT(ADDRESS(ROW($F65),MATCH("Adj Close", Price_Header,0)))))</f>
        <v>278.70857142857142</v>
      </c>
      <c r="K65" s="127">
        <f ca="1">IF(tbl_HD[[#This Row],[BB_Mean]]="", "", tbl_HD[[#This Row],[BB_Mean]]+(BB_Width*tbl_HD[[#This Row],[BB_Stdev]]))</f>
        <v>293.30170122867383</v>
      </c>
      <c r="L65" s="127">
        <f ca="1">IF(tbl_HD[[#This Row],[BB_Mean]]="", "", tbl_HD[[#This Row],[BB_Mean]]-(BB_Width*tbl_HD[[#This Row],[BB_Stdev]]))</f>
        <v>264.115441628469</v>
      </c>
      <c r="M65" s="46">
        <f>IF(ROW(tbl_HD[[#This Row],[Adj Close]])=5, 0, $F65-$F64)</f>
        <v>6.6299999999999955</v>
      </c>
      <c r="N65" s="46">
        <f>MAX(tbl_HD[[#This Row],[Move]],0)</f>
        <v>6.6299999999999955</v>
      </c>
      <c r="O65" s="46">
        <f>MAX(-tbl_HD[[#This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1.0678571428571462</v>
      </c>
      <c r="Q65" s="46">
        <f ca="1">IF(ROW($O65)-5&lt;RSI_Periods, "", AVERAGE(INDIRECT(ADDRESS(ROW($O65)-RSI_Periods +1, MATCH("Downmove", Price_Header,0))): INDIRECT(ADDRESS(ROW($O65),MATCH("Downmove", Price_Header,0)))))</f>
        <v>1.7621428571428583</v>
      </c>
      <c r="R65" s="46">
        <f ca="1">IF(tbl_HD[[#This Row],[Avg_Upmove]]="", "", tbl_HD[[#This Row],[Avg_Upmove]]/tbl_HD[[#This Row],[Avg_Downmove]])</f>
        <v>0.60599918929874486</v>
      </c>
      <c r="S65" s="10">
        <f ca="1">IF(ROW($N65)-4&lt;BB_Periods, "", _xlfn.STDEV.S(INDIRECT(ADDRESS(ROW($F65)-RSI_Periods +1, MATCH("Adj Close", Price_Header,0))): INDIRECT(ADDRESS(ROW($F65),MATCH("Adj Close", Price_Header,0)))))</f>
        <v>7.2965649000512158</v>
      </c>
    </row>
    <row r="66" spans="1:19" x14ac:dyDescent="0.35">
      <c r="A66" s="8">
        <v>44139</v>
      </c>
      <c r="B66" s="48">
        <v>276.76</v>
      </c>
      <c r="C66" s="48">
        <v>287.04000000000002</v>
      </c>
      <c r="D66" s="48">
        <v>276.01</v>
      </c>
      <c r="E66" s="48">
        <v>282.72000000000003</v>
      </c>
      <c r="F66" s="48">
        <v>282.72000000000003</v>
      </c>
      <c r="G66">
        <v>3525300</v>
      </c>
      <c r="H66" s="10">
        <f>IF(tbl_HD[[#This Row],[Date]]=$A$5, $F66, EMA_Beta*$H65 + (1-EMA_Beta)*$F66)</f>
        <v>277.91711284931955</v>
      </c>
      <c r="I66" s="46">
        <f ca="1">IF(tbl_HD[[#This Row],[RS]]= "", "", 100-(100/(1+tbl_HD[[#This Row],[RS]])))</f>
        <v>44.586702605570544</v>
      </c>
      <c r="J66" s="10">
        <f ca="1">IF(ROW($N66)-4&lt;BB_Periods, "", AVERAGE(INDIRECT(ADDRESS(ROW($F66)-RSI_Periods +1, MATCH("Adj Close", Price_Header,0))): INDIRECT(ADDRESS(ROW($F66),MATCH("Adj Close", Price_Header,0)))))</f>
        <v>278.36428571428576</v>
      </c>
      <c r="K66" s="127">
        <f ca="1">IF(tbl_HD[[#This Row],[BB_Mean]]="", "", tbl_HD[[#This Row],[BB_Mean]]+(BB_Width*tbl_HD[[#This Row],[BB_Stdev]]))</f>
        <v>292.27118652323276</v>
      </c>
      <c r="L66" s="127">
        <f ca="1">IF(tbl_HD[[#This Row],[BB_Mean]]="", "", tbl_HD[[#This Row],[BB_Mean]]-(BB_Width*tbl_HD[[#This Row],[BB_Stdev]]))</f>
        <v>264.45738490533876</v>
      </c>
      <c r="M66" s="46">
        <f>IF(ROW(tbl_HD[[#This Row],[Adj Close]])=5, 0, $F66-$F65)</f>
        <v>5.3500000000000227</v>
      </c>
      <c r="N66" s="46">
        <f>MAX(tbl_HD[[#This Row],[Move]],0)</f>
        <v>5.3500000000000227</v>
      </c>
      <c r="O66" s="46">
        <f>MAX(-tbl_HD[[#This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1.4178571428571445</v>
      </c>
      <c r="Q66" s="46">
        <f ca="1">IF(ROW($O66)-5&lt;RSI_Periods, "", AVERAGE(INDIRECT(ADDRESS(ROW($O66)-RSI_Periods +1, MATCH("Downmove", Price_Header,0))): INDIRECT(ADDRESS(ROW($O66),MATCH("Downmove", Price_Header,0)))))</f>
        <v>1.7621428571428583</v>
      </c>
      <c r="R66" s="46">
        <f ca="1">IF(tbl_HD[[#This Row],[Avg_Upmove]]="", "", tbl_HD[[#This Row],[Avg_Upmove]]/tbl_HD[[#This Row],[Avg_Downmove]])</f>
        <v>0.80462099716254598</v>
      </c>
      <c r="S66" s="10">
        <f ca="1">IF(ROW($N66)-4&lt;BB_Periods, "", _xlfn.STDEV.S(INDIRECT(ADDRESS(ROW($F66)-RSI_Periods +1, MATCH("Adj Close", Price_Header,0))): INDIRECT(ADDRESS(ROW($F66),MATCH("Adj Close", Price_Header,0)))))</f>
        <v>6.9534504044734922</v>
      </c>
    </row>
    <row r="67" spans="1:19" x14ac:dyDescent="0.35">
      <c r="A67" s="8">
        <v>44140</v>
      </c>
      <c r="B67" s="48">
        <v>288.35000000000002</v>
      </c>
      <c r="C67" s="48">
        <v>289</v>
      </c>
      <c r="D67" s="48">
        <v>284.08</v>
      </c>
      <c r="E67" s="48">
        <v>285.85000000000002</v>
      </c>
      <c r="F67" s="48">
        <v>285.85000000000002</v>
      </c>
      <c r="G67">
        <v>2516600</v>
      </c>
      <c r="H67" s="10">
        <f>IF(tbl_HD[[#This Row],[Date]]=$A$5, $F67, EMA_Beta*$H66 + (1-EMA_Beta)*$F67)</f>
        <v>278.71040156438761</v>
      </c>
      <c r="I67" s="46">
        <f ca="1">IF(tbl_HD[[#This Row],[RS]]= "", "", 100-(100/(1+tbl_HD[[#This Row],[RS]])))</f>
        <v>48.095939406690512</v>
      </c>
      <c r="J67" s="10">
        <f ca="1">IF(ROW($N67)-4&lt;BB_Periods, "", AVERAGE(INDIRECT(ADDRESS(ROW($F67)-RSI_Periods +1, MATCH("Adj Close", Price_Header,0))): INDIRECT(ADDRESS(ROW($F67),MATCH("Adj Close", Price_Header,0)))))</f>
        <v>278.23500000000001</v>
      </c>
      <c r="K67" s="127">
        <f ca="1">IF(tbl_HD[[#This Row],[BB_Mean]]="", "", tbl_HD[[#This Row],[BB_Mean]]+(BB_Width*tbl_HD[[#This Row],[BB_Stdev]]))</f>
        <v>291.79906735005852</v>
      </c>
      <c r="L67" s="127">
        <f ca="1">IF(tbl_HD[[#This Row],[BB_Mean]]="", "", tbl_HD[[#This Row],[BB_Mean]]-(BB_Width*tbl_HD[[#This Row],[BB_Stdev]]))</f>
        <v>264.67093264994151</v>
      </c>
      <c r="M67" s="46">
        <f>IF(ROW(tbl_HD[[#This Row],[Adj Close]])=5, 0, $F67-$F66)</f>
        <v>3.1299999999999955</v>
      </c>
      <c r="N67" s="46">
        <f>MAX(tbl_HD[[#This Row],[Move]],0)</f>
        <v>3.1299999999999955</v>
      </c>
      <c r="O67" s="46">
        <f>MAX(-tbl_HD[[#This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1.6328571428571439</v>
      </c>
      <c r="Q67" s="46">
        <f ca="1">IF(ROW($O67)-5&lt;RSI_Periods, "", AVERAGE(INDIRECT(ADDRESS(ROW($O67)-RSI_Periods +1, MATCH("Downmove", Price_Header,0))): INDIRECT(ADDRESS(ROW($O67),MATCH("Downmove", Price_Header,0)))))</f>
        <v>1.7621428571428583</v>
      </c>
      <c r="R67" s="46">
        <f ca="1">IF(tbl_HD[[#This Row],[Avg_Upmove]]="", "", tbl_HD[[#This Row],[Avg_Upmove]]/tbl_HD[[#This Row],[Avg_Downmove]])</f>
        <v>0.92663153627888117</v>
      </c>
      <c r="S67" s="10">
        <f ca="1">IF(ROW($N67)-4&lt;BB_Periods, "", _xlfn.STDEV.S(INDIRECT(ADDRESS(ROW($F67)-RSI_Periods +1, MATCH("Adj Close", Price_Header,0))): INDIRECT(ADDRESS(ROW($F67),MATCH("Adj Close", Price_Header,0)))))</f>
        <v>6.7820336750292549</v>
      </c>
    </row>
    <row r="68" spans="1:19" x14ac:dyDescent="0.35">
      <c r="A68" s="8">
        <v>44141</v>
      </c>
      <c r="B68" s="48">
        <v>286.73</v>
      </c>
      <c r="C68" s="48">
        <v>286.77999999999997</v>
      </c>
      <c r="D68" s="48">
        <v>282.85000000000002</v>
      </c>
      <c r="E68" s="48">
        <v>284.24</v>
      </c>
      <c r="F68" s="48">
        <v>284.24</v>
      </c>
      <c r="G68">
        <v>2839100</v>
      </c>
      <c r="H68" s="10">
        <f>IF(tbl_HD[[#This Row],[Date]]=$A$5, $F68, EMA_Beta*$H67 + (1-EMA_Beta)*$F68)</f>
        <v>279.26336140794882</v>
      </c>
      <c r="I68" s="46">
        <f ca="1">IF(tbl_HD[[#This Row],[RS]]= "", "", 100-(100/(1+tbl_HD[[#This Row],[RS]])))</f>
        <v>49.224806201550422</v>
      </c>
      <c r="J68" s="10">
        <f ca="1">IF(ROW($N68)-4&lt;BB_Periods, "", AVERAGE(INDIRECT(ADDRESS(ROW($F68)-RSI_Periods +1, MATCH("Adj Close", Price_Header,0))): INDIRECT(ADDRESS(ROW($F68),MATCH("Adj Close", Price_Header,0)))))</f>
        <v>278.1835714285715</v>
      </c>
      <c r="K68" s="127">
        <f ca="1">IF(tbl_HD[[#This Row],[BB_Mean]]="", "", tbl_HD[[#This Row],[BB_Mean]]+(BB_Width*tbl_HD[[#This Row],[BB_Stdev]]))</f>
        <v>291.6428561441478</v>
      </c>
      <c r="L68" s="127">
        <f ca="1">IF(tbl_HD[[#This Row],[BB_Mean]]="", "", tbl_HD[[#This Row],[BB_Mean]]-(BB_Width*tbl_HD[[#This Row],[BB_Stdev]]))</f>
        <v>264.72428671299519</v>
      </c>
      <c r="M68" s="46">
        <f>IF(ROW(tbl_HD[[#This Row],[Adj Close]])=5, 0, $F68-$F67)</f>
        <v>-1.6100000000000136</v>
      </c>
      <c r="N68" s="46">
        <f>MAX(tbl_HD[[#This Row],[Move]],0)</f>
        <v>0</v>
      </c>
      <c r="O68" s="46">
        <f>MAX(-tbl_HD[[#This Row],[Move]],0)</f>
        <v>1.6100000000000136</v>
      </c>
      <c r="P68" s="46">
        <f ca="1">IF(ROW($N68)-5&lt;RSI_Periods, "", AVERAGE(INDIRECT(ADDRESS(ROW($N68)-RSI_Periods +1, MATCH("Upmove", Price_Header,0))): INDIRECT(ADDRESS(ROW($N68),MATCH("Upmove", Price_Header,0)))))</f>
        <v>1.6328571428571439</v>
      </c>
      <c r="Q68" s="46">
        <f ca="1">IF(ROW($O68)-5&lt;RSI_Periods, "", AVERAGE(INDIRECT(ADDRESS(ROW($O68)-RSI_Periods +1, MATCH("Downmove", Price_Header,0))): INDIRECT(ADDRESS(ROW($O68),MATCH("Downmove", Price_Header,0)))))</f>
        <v>1.6842857142857131</v>
      </c>
      <c r="R68" s="46">
        <f ca="1">IF(tbl_HD[[#This Row],[Avg_Upmove]]="", "", tbl_HD[[#This Row],[Avg_Upmove]]/tbl_HD[[#This Row],[Avg_Downmove]])</f>
        <v>0.96946564885496311</v>
      </c>
      <c r="S68" s="10">
        <f ca="1">IF(ROW($N68)-4&lt;BB_Periods, "", _xlfn.STDEV.S(INDIRECT(ADDRESS(ROW($F68)-RSI_Periods +1, MATCH("Adj Close", Price_Header,0))): INDIRECT(ADDRESS(ROW($F68),MATCH("Adj Close", Price_Header,0)))))</f>
        <v>6.7296423577881415</v>
      </c>
    </row>
    <row r="69" spans="1:19" x14ac:dyDescent="0.35">
      <c r="A69" s="8">
        <v>44144</v>
      </c>
      <c r="B69" s="48">
        <v>287.98</v>
      </c>
      <c r="C69" s="48">
        <v>288.42</v>
      </c>
      <c r="D69" s="48">
        <v>269.47000000000003</v>
      </c>
      <c r="E69" s="48">
        <v>269.97000000000003</v>
      </c>
      <c r="F69" s="48">
        <v>269.97000000000003</v>
      </c>
      <c r="G69">
        <v>7856400</v>
      </c>
      <c r="H69" s="10">
        <f>IF(tbl_HD[[#This Row],[Date]]=$A$5, $F69, EMA_Beta*$H68 + (1-EMA_Beta)*$F69)</f>
        <v>278.33402526715395</v>
      </c>
      <c r="I69" s="46">
        <f ca="1">IF(tbl_HD[[#This Row],[RS]]= "", "", 100-(100/(1+tbl_HD[[#This Row],[RS]])))</f>
        <v>36.525238973670959</v>
      </c>
      <c r="J69" s="10">
        <f ca="1">IF(ROW($N69)-4&lt;BB_Periods, "", AVERAGE(INDIRECT(ADDRESS(ROW($F69)-RSI_Periods +1, MATCH("Adj Close", Price_Header,0))): INDIRECT(ADDRESS(ROW($F69),MATCH("Adj Close", Price_Header,0)))))</f>
        <v>277.03571428571433</v>
      </c>
      <c r="K69" s="127">
        <f ca="1">IF(tbl_HD[[#This Row],[BB_Mean]]="", "", tbl_HD[[#This Row],[BB_Mean]]+(BB_Width*tbl_HD[[#This Row],[BB_Stdev]]))</f>
        <v>290.34896208754566</v>
      </c>
      <c r="L69" s="127">
        <f ca="1">IF(tbl_HD[[#This Row],[BB_Mean]]="", "", tbl_HD[[#This Row],[BB_Mean]]-(BB_Width*tbl_HD[[#This Row],[BB_Stdev]]))</f>
        <v>263.72246648388301</v>
      </c>
      <c r="M69" s="46">
        <f>IF(ROW(tbl_HD[[#This Row],[Adj Close]])=5, 0, $F69-$F68)</f>
        <v>-14.269999999999982</v>
      </c>
      <c r="N69" s="46">
        <f>MAX(tbl_HD[[#This Row],[Move]],0)</f>
        <v>0</v>
      </c>
      <c r="O69" s="46">
        <f>MAX(-tbl_HD[[#This Row],[Move]],0)</f>
        <v>14.269999999999982</v>
      </c>
      <c r="P69" s="46">
        <f ca="1">IF(ROW($N69)-5&lt;RSI_Periods, "", AVERAGE(INDIRECT(ADDRESS(ROW($N69)-RSI_Periods +1, MATCH("Upmove", Price_Header,0))): INDIRECT(ADDRESS(ROW($N69),MATCH("Upmove", Price_Header,0)))))</f>
        <v>1.5557142857142838</v>
      </c>
      <c r="Q69" s="46">
        <f ca="1">IF(ROW($O69)-5&lt;RSI_Periods, "", AVERAGE(INDIRECT(ADDRESS(ROW($O69)-RSI_Periods +1, MATCH("Downmove", Price_Header,0))): INDIRECT(ADDRESS(ROW($O69),MATCH("Downmove", Price_Header,0)))))</f>
        <v>2.7035714285714261</v>
      </c>
      <c r="R69" s="46">
        <f ca="1">IF(tbl_HD[[#This Row],[Avg_Upmove]]="", "", tbl_HD[[#This Row],[Avg_Upmove]]/tbl_HD[[#This Row],[Avg_Downmove]])</f>
        <v>0.57542932628797872</v>
      </c>
      <c r="S69" s="10">
        <f ca="1">IF(ROW($N69)-4&lt;BB_Periods, "", _xlfn.STDEV.S(INDIRECT(ADDRESS(ROW($F69)-RSI_Periods +1, MATCH("Adj Close", Price_Header,0))): INDIRECT(ADDRESS(ROW($F69),MATCH("Adj Close", Price_Header,0)))))</f>
        <v>6.6566239009156734</v>
      </c>
    </row>
    <row r="70" spans="1:19" x14ac:dyDescent="0.35">
      <c r="A70" s="8">
        <v>44145</v>
      </c>
      <c r="B70" s="48">
        <v>272.79000000000002</v>
      </c>
      <c r="C70" s="48">
        <v>275.79000000000002</v>
      </c>
      <c r="D70" s="48">
        <v>269.25</v>
      </c>
      <c r="E70" s="48">
        <v>275.57</v>
      </c>
      <c r="F70" s="48">
        <v>275.57</v>
      </c>
      <c r="G70">
        <v>4828500</v>
      </c>
      <c r="H70" s="10">
        <f>IF(tbl_HD[[#This Row],[Date]]=$A$5, $F70, EMA_Beta*$H69 + (1-EMA_Beta)*$F70)</f>
        <v>278.05762274043855</v>
      </c>
      <c r="I70" s="46">
        <f ca="1">IF(tbl_HD[[#This Row],[RS]]= "", "", 100-(100/(1+tbl_HD[[#This Row],[RS]])))</f>
        <v>42.982731554160111</v>
      </c>
      <c r="J70" s="10">
        <f ca="1">IF(ROW($N70)-4&lt;BB_Periods, "", AVERAGE(INDIRECT(ADDRESS(ROW($F70)-RSI_Periods +1, MATCH("Adj Close", Price_Header,0))): INDIRECT(ADDRESS(ROW($F70),MATCH("Adj Close", Price_Header,0)))))</f>
        <v>276.39714285714291</v>
      </c>
      <c r="K70" s="127">
        <f ca="1">IF(tbl_HD[[#This Row],[BB_Mean]]="", "", tbl_HD[[#This Row],[BB_Mean]]+(BB_Width*tbl_HD[[#This Row],[BB_Stdev]]))</f>
        <v>289.00499005597158</v>
      </c>
      <c r="L70" s="127">
        <f ca="1">IF(tbl_HD[[#This Row],[BB_Mean]]="", "", tbl_HD[[#This Row],[BB_Mean]]-(BB_Width*tbl_HD[[#This Row],[BB_Stdev]]))</f>
        <v>263.78929565831424</v>
      </c>
      <c r="M70" s="46">
        <f>IF(ROW(tbl_HD[[#This Row],[Adj Close]])=5, 0, $F70-$F69)</f>
        <v>5.5999999999999659</v>
      </c>
      <c r="N70" s="46">
        <f>MAX(tbl_HD[[#This Row],[Move]],0)</f>
        <v>5.5999999999999659</v>
      </c>
      <c r="O70" s="46">
        <f>MAX(-tbl_HD[[#This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1.9557142857142813</v>
      </c>
      <c r="Q70" s="46">
        <f ca="1">IF(ROW($O70)-5&lt;RSI_Periods, "", AVERAGE(INDIRECT(ADDRESS(ROW($O70)-RSI_Periods +1, MATCH("Downmove", Price_Header,0))): INDIRECT(ADDRESS(ROW($O70),MATCH("Downmove", Price_Header,0)))))</f>
        <v>2.5942857142857099</v>
      </c>
      <c r="R70" s="46">
        <f ca="1">IF(tbl_HD[[#This Row],[Avg_Upmove]]="", "", tbl_HD[[#This Row],[Avg_Upmove]]/tbl_HD[[#This Row],[Avg_Downmove]])</f>
        <v>0.75385462555066041</v>
      </c>
      <c r="S70" s="10">
        <f ca="1">IF(ROW($N70)-4&lt;BB_Periods, "", _xlfn.STDEV.S(INDIRECT(ADDRESS(ROW($F70)-RSI_Periods +1, MATCH("Adj Close", Price_Header,0))): INDIRECT(ADDRESS(ROW($F70),MATCH("Adj Close", Price_Header,0)))))</f>
        <v>6.303923599414321</v>
      </c>
    </row>
    <row r="71" spans="1:19" x14ac:dyDescent="0.35">
      <c r="A71" s="8">
        <v>44146</v>
      </c>
      <c r="B71" s="48">
        <v>277.32</v>
      </c>
      <c r="C71" s="48">
        <v>281.69</v>
      </c>
      <c r="D71" s="48">
        <v>276.17</v>
      </c>
      <c r="E71" s="48">
        <v>277.75</v>
      </c>
      <c r="F71" s="48">
        <v>277.75</v>
      </c>
      <c r="G71">
        <v>2987900</v>
      </c>
      <c r="H71" s="10">
        <f>IF(tbl_HD[[#This Row],[Date]]=$A$5, $F71, EMA_Beta*$H70 + (1-EMA_Beta)*$F71)</f>
        <v>278.02686046639468</v>
      </c>
      <c r="I71" s="46">
        <f ca="1">IF(tbl_HD[[#This Row],[RS]]= "", "", 100-(100/(1+tbl_HD[[#This Row],[RS]])))</f>
        <v>47.273308811770328</v>
      </c>
      <c r="J71" s="10">
        <f ca="1">IF(ROW($N71)-4&lt;BB_Periods, "", AVERAGE(INDIRECT(ADDRESS(ROW($F71)-RSI_Periods +1, MATCH("Adj Close", Price_Header,0))): INDIRECT(ADDRESS(ROW($F71),MATCH("Adj Close", Price_Header,0)))))</f>
        <v>276.15357142857152</v>
      </c>
      <c r="K71" s="127">
        <f ca="1">IF(tbl_HD[[#This Row],[BB_Mean]]="", "", tbl_HD[[#This Row],[BB_Mean]]+(BB_Width*tbl_HD[[#This Row],[BB_Stdev]]))</f>
        <v>288.49397064201889</v>
      </c>
      <c r="L71" s="127">
        <f ca="1">IF(tbl_HD[[#This Row],[BB_Mean]]="", "", tbl_HD[[#This Row],[BB_Mean]]-(BB_Width*tbl_HD[[#This Row],[BB_Stdev]]))</f>
        <v>263.81317221512415</v>
      </c>
      <c r="M71" s="46">
        <f>IF(ROW(tbl_HD[[#This Row],[Adj Close]])=5, 0, $F71-$F70)</f>
        <v>2.1800000000000068</v>
      </c>
      <c r="N71" s="46">
        <f>MAX(tbl_HD[[#This Row],[Move]],0)</f>
        <v>2.1800000000000068</v>
      </c>
      <c r="O71" s="46">
        <f>MAX(-tbl_HD[[#This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2.1114285714285677</v>
      </c>
      <c r="Q71" s="46">
        <f ca="1">IF(ROW($O71)-5&lt;RSI_Periods, "", AVERAGE(INDIRECT(ADDRESS(ROW($O71)-RSI_Periods +1, MATCH("Downmove", Price_Header,0))): INDIRECT(ADDRESS(ROW($O71),MATCH("Downmove", Price_Header,0)))))</f>
        <v>2.3549999999999978</v>
      </c>
      <c r="R71" s="46">
        <f ca="1">IF(tbl_HD[[#This Row],[Avg_Upmove]]="", "", tbl_HD[[#This Row],[Avg_Upmove]]/tbl_HD[[#This Row],[Avg_Downmove]])</f>
        <v>0.89657264179557095</v>
      </c>
      <c r="S71" s="10">
        <f ca="1">IF(ROW($N71)-4&lt;BB_Periods, "", _xlfn.STDEV.S(INDIRECT(ADDRESS(ROW($F71)-RSI_Periods +1, MATCH("Adj Close", Price_Header,0))): INDIRECT(ADDRESS(ROW($F71),MATCH("Adj Close", Price_Header,0)))))</f>
        <v>6.1701996067236937</v>
      </c>
    </row>
    <row r="72" spans="1:19" x14ac:dyDescent="0.35">
      <c r="A72" s="8">
        <v>44147</v>
      </c>
      <c r="B72" s="48">
        <v>283</v>
      </c>
      <c r="C72" s="48">
        <v>283.69</v>
      </c>
      <c r="D72" s="48">
        <v>273.83999999999997</v>
      </c>
      <c r="E72" s="48">
        <v>276.24</v>
      </c>
      <c r="F72" s="48">
        <v>276.24</v>
      </c>
      <c r="G72">
        <v>3818600</v>
      </c>
      <c r="H72" s="10">
        <f>IF(tbl_HD[[#This Row],[Date]]=$A$5, $F72, EMA_Beta*$H71 + (1-EMA_Beta)*$F72)</f>
        <v>277.8481744197552</v>
      </c>
      <c r="I72" s="46">
        <f ca="1">IF(tbl_HD[[#This Row],[RS]]= "", "", 100-(100/(1+tbl_HD[[#This Row],[RS]])))</f>
        <v>44.565916398713831</v>
      </c>
      <c r="J72" s="10">
        <f ca="1">IF(ROW($N72)-4&lt;BB_Periods, "", AVERAGE(INDIRECT(ADDRESS(ROW($F72)-RSI_Periods +1, MATCH("Adj Close", Price_Header,0))): INDIRECT(ADDRESS(ROW($F72),MATCH("Adj Close", Price_Header,0)))))</f>
        <v>275.67071428571438</v>
      </c>
      <c r="K72" s="127">
        <f ca="1">IF(tbl_HD[[#This Row],[BB_Mean]]="", "", tbl_HD[[#This Row],[BB_Mean]]+(BB_Width*tbl_HD[[#This Row],[BB_Stdev]]))</f>
        <v>287.36946494691608</v>
      </c>
      <c r="L72" s="127">
        <f ca="1">IF(tbl_HD[[#This Row],[BB_Mean]]="", "", tbl_HD[[#This Row],[BB_Mean]]-(BB_Width*tbl_HD[[#This Row],[BB_Stdev]]))</f>
        <v>263.97196362451268</v>
      </c>
      <c r="M72" s="46">
        <f>IF(ROW(tbl_HD[[#This Row],[Adj Close]])=5, 0, $F72-$F71)</f>
        <v>-1.5099999999999909</v>
      </c>
      <c r="N72" s="46">
        <f>MAX(tbl_HD[[#This Row],[Move]],0)</f>
        <v>0</v>
      </c>
      <c r="O72" s="46">
        <f>MAX(-tbl_HD[[#This Row],[Move]],0)</f>
        <v>1.5099999999999909</v>
      </c>
      <c r="P72" s="46">
        <f ca="1">IF(ROW($N72)-5&lt;RSI_Periods, "", AVERAGE(INDIRECT(ADDRESS(ROW($N72)-RSI_Periods +1, MATCH("Upmove", Price_Header,0))): INDIRECT(ADDRESS(ROW($N72),MATCH("Upmove", Price_Header,0)))))</f>
        <v>1.979999999999998</v>
      </c>
      <c r="Q72" s="46">
        <f ca="1">IF(ROW($O72)-5&lt;RSI_Periods, "", AVERAGE(INDIRECT(ADDRESS(ROW($O72)-RSI_Periods +1, MATCH("Downmove", Price_Header,0))): INDIRECT(ADDRESS(ROW($O72),MATCH("Downmove", Price_Header,0)))))</f>
        <v>2.46285714285714</v>
      </c>
      <c r="R72" s="46">
        <f ca="1">IF(tbl_HD[[#This Row],[Avg_Upmove]]="", "", tbl_HD[[#This Row],[Avg_Upmove]]/tbl_HD[[#This Row],[Avg_Downmove]])</f>
        <v>0.8039443155452437</v>
      </c>
      <c r="S72" s="10">
        <f ca="1">IF(ROW($N72)-4&lt;BB_Periods, "", _xlfn.STDEV.S(INDIRECT(ADDRESS(ROW($F72)-RSI_Periods +1, MATCH("Adj Close", Price_Header,0))): INDIRECT(ADDRESS(ROW($F72),MATCH("Adj Close", Price_Header,0)))))</f>
        <v>5.84937533060085</v>
      </c>
    </row>
    <row r="73" spans="1:19" x14ac:dyDescent="0.35">
      <c r="A73" s="8">
        <v>44148</v>
      </c>
      <c r="B73" s="48">
        <v>276.42</v>
      </c>
      <c r="C73" s="48">
        <v>279.73</v>
      </c>
      <c r="D73" s="48">
        <v>275.26</v>
      </c>
      <c r="E73" s="48">
        <v>277.17</v>
      </c>
      <c r="F73" s="48">
        <v>277.17</v>
      </c>
      <c r="G73">
        <v>3939200</v>
      </c>
      <c r="H73" s="10">
        <f>IF(tbl_HD[[#This Row],[Date]]=$A$5, $F73, EMA_Beta*$H72 + (1-EMA_Beta)*$F73)</f>
        <v>277.78035697777966</v>
      </c>
      <c r="I73" s="46">
        <f ca="1">IF(tbl_HD[[#This Row],[RS]]= "", "", 100-(100/(1+tbl_HD[[#This Row],[RS]])))</f>
        <v>51.005875022253875</v>
      </c>
      <c r="J73" s="10">
        <f ca="1">IF(ROW($N73)-4&lt;BB_Periods, "", AVERAGE(INDIRECT(ADDRESS(ROW($F73)-RSI_Periods +1, MATCH("Adj Close", Price_Header,0))): INDIRECT(ADDRESS(ROW($F73),MATCH("Adj Close", Price_Header,0)))))</f>
        <v>275.75142857142862</v>
      </c>
      <c r="K73" s="127">
        <f ca="1">IF(tbl_HD[[#This Row],[BB_Mean]]="", "", tbl_HD[[#This Row],[BB_Mean]]+(BB_Width*tbl_HD[[#This Row],[BB_Stdev]]))</f>
        <v>287.47671710556676</v>
      </c>
      <c r="L73" s="127">
        <f ca="1">IF(tbl_HD[[#This Row],[BB_Mean]]="", "", tbl_HD[[#This Row],[BB_Mean]]-(BB_Width*tbl_HD[[#This Row],[BB_Stdev]]))</f>
        <v>264.02614003729047</v>
      </c>
      <c r="M73" s="46">
        <f>IF(ROW(tbl_HD[[#This Row],[Adj Close]])=5, 0, $F73-$F72)</f>
        <v>0.93000000000000682</v>
      </c>
      <c r="N73" s="46">
        <f>MAX(tbl_HD[[#This Row],[Move]],0)</f>
        <v>0.93000000000000682</v>
      </c>
      <c r="O73" s="46">
        <f>MAX(-tbl_HD[[#This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2.0464285714285699</v>
      </c>
      <c r="Q73" s="46">
        <f ca="1">IF(ROW($O73)-5&lt;RSI_Periods, "", AVERAGE(INDIRECT(ADDRESS(ROW($O73)-RSI_Periods +1, MATCH("Downmove", Price_Header,0))): INDIRECT(ADDRESS(ROW($O73),MATCH("Downmove", Price_Header,0)))))</f>
        <v>1.9657142857142844</v>
      </c>
      <c r="R73" s="46">
        <f ca="1">IF(tbl_HD[[#This Row],[Avg_Upmove]]="", "", tbl_HD[[#This Row],[Avg_Upmove]]/tbl_HD[[#This Row],[Avg_Downmove]])</f>
        <v>1.0410610465116279</v>
      </c>
      <c r="S73" s="10">
        <f ca="1">IF(ROW($N73)-4&lt;BB_Periods, "", _xlfn.STDEV.S(INDIRECT(ADDRESS(ROW($F73)-RSI_Periods +1, MATCH("Adj Close", Price_Header,0))): INDIRECT(ADDRESS(ROW($F73),MATCH("Adj Close", Price_Header,0)))))</f>
        <v>5.862644267069073</v>
      </c>
    </row>
    <row r="74" spans="1:19" x14ac:dyDescent="0.35">
      <c r="A74" t="s">
        <v>162</v>
      </c>
      <c r="H74" s="61"/>
      <c r="J74" s="61"/>
      <c r="K74" s="61"/>
      <c r="L74" s="61"/>
      <c r="S74" s="61">
        <f ca="1">SUBTOTAL(103,tbl_HD[BB_Stdev])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4"/>
  <sheetViews>
    <sheetView topLeftCell="B6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2" customWidth="1"/>
    <col min="11" max="11" width="11.1796875" customWidth="1"/>
    <col min="12" max="12" width="12.26953125" customWidth="1"/>
    <col min="14" max="14" width="10.7265625" customWidth="1"/>
    <col min="15" max="15" width="9.7265625" customWidth="1"/>
    <col min="16" max="16" width="11.1796875" customWidth="1"/>
    <col min="17" max="17" width="10.54296875" customWidth="1"/>
    <col min="19" max="19" width="10.453125" customWidth="1"/>
  </cols>
  <sheetData>
    <row r="1" spans="1:19" ht="21" x14ac:dyDescent="0.5">
      <c r="A1" s="41" t="s">
        <v>166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112.53</v>
      </c>
      <c r="G5">
        <v>212403600</v>
      </c>
      <c r="H5" s="10">
        <f>IF(tbl_AAPL[[#This Row],[Date]]=$A$5, $F5, EMA_Beta*$H4 + (1-EMA_Beta)*$F5)</f>
        <v>112.53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109.19</v>
      </c>
      <c r="G6">
        <v>187902400</v>
      </c>
      <c r="H6" s="10">
        <f>IF(tbl_AAPL[[#This Row],[Date]]=$A$5, $F6, EMA_Beta*$H5 + (1-EMA_Beta)*$F6)</f>
        <v>112.196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-3.3400000000000034</v>
      </c>
      <c r="N6" s="50">
        <f>MAX(tbl_AAPL[[#This Row],[Move]],0)</f>
        <v>0</v>
      </c>
      <c r="O6" s="50">
        <f>MAX(-tbl_AAPL[[#This Row],[Move]],0)</f>
        <v>3.3400000000000034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112.82</v>
      </c>
      <c r="G7">
        <v>165944800</v>
      </c>
      <c r="H7" s="10">
        <f>IF(tbl_AAPL[[#This Row],[Date]]=$A$5, $F7, EMA_Beta*$H6 + (1-EMA_Beta)*$F7)</f>
        <v>112.25839999999999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3.6299999999999955</v>
      </c>
      <c r="N7" s="50">
        <f>MAX(tbl_AAPL[[#This Row],[Move]],0)</f>
        <v>3.6299999999999955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114.81</v>
      </c>
      <c r="G8">
        <v>210082000</v>
      </c>
      <c r="H8" s="10">
        <f>IF(tbl_AAPL[[#This Row],[Date]]=$A$5, $F8, EMA_Beta*$H7 + (1-EMA_Beta)*$F8)</f>
        <v>112.51356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1.9900000000000091</v>
      </c>
      <c r="N8" s="50">
        <f>MAX(tbl_AAPL[[#This Row],[Move]],0)</f>
        <v>1.9900000000000091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114.71</v>
      </c>
      <c r="G9">
        <v>165565200</v>
      </c>
      <c r="H9" s="10">
        <f>IF(tbl_AAPL[[#This Row],[Date]]=$A$5, $F9, EMA_Beta*$H8 + (1-EMA_Beta)*$F9)</f>
        <v>112.733204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-0.10000000000000853</v>
      </c>
      <c r="N9" s="50">
        <f>MAX(tbl_AAPL[[#This Row],[Move]],0)</f>
        <v>0</v>
      </c>
      <c r="O9" s="50">
        <f>MAX(-tbl_AAPL[[#This Row],[Move]],0)</f>
        <v>0.10000000000000853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114.41</v>
      </c>
      <c r="G10">
        <v>119561600</v>
      </c>
      <c r="H10" s="10">
        <f>IF(tbl_AAPL[[#This Row],[Date]]=$A$5, $F10, EMA_Beta*$H9 + (1-EMA_Beta)*$F10)</f>
        <v>112.9008836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-0.29999999999999716</v>
      </c>
      <c r="N10" s="50">
        <f>MAX(tbl_AAPL[[#This Row],[Move]],0)</f>
        <v>0</v>
      </c>
      <c r="O10" s="50">
        <f>MAX(-tbl_AAPL[[#This Row],[Move]],0)</f>
        <v>0.29999999999999716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115.36</v>
      </c>
      <c r="G11">
        <v>105633600</v>
      </c>
      <c r="H11" s="10">
        <f>IF(tbl_AAPL[[#This Row],[Date]]=$A$5, $F11, EMA_Beta*$H10 + (1-EMA_Beta)*$F11)</f>
        <v>113.14679524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0.95000000000000284</v>
      </c>
      <c r="N11" s="50">
        <f>MAX(tbl_AAPL[[#This Row],[Move]],0)</f>
        <v>0.95000000000000284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115.51</v>
      </c>
      <c r="G12">
        <v>145538000</v>
      </c>
      <c r="H12" s="10">
        <f>IF(tbl_AAPL[[#This Row],[Date]]=$A$5, $F12, EMA_Beta*$H11 + (1-EMA_Beta)*$F12)</f>
        <v>113.38311571600001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0.15000000000000568</v>
      </c>
      <c r="N12" s="50">
        <f>MAX(tbl_AAPL[[#This Row],[Move]],0)</f>
        <v>0.15000000000000568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118.07</v>
      </c>
      <c r="G13">
        <v>126907200</v>
      </c>
      <c r="H13" s="10">
        <f>IF(tbl_AAPL[[#This Row],[Date]]=$A$5, $F13, EMA_Beta*$H12 + (1-EMA_Beta)*$F13)</f>
        <v>113.85180414440001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2.5599999999999881</v>
      </c>
      <c r="N13" s="50">
        <f>MAX(tbl_AAPL[[#This Row],[Move]],0)</f>
        <v>2.5599999999999881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124.16</v>
      </c>
      <c r="G14">
        <v>338054800</v>
      </c>
      <c r="H14" s="10">
        <f>IF(tbl_AAPL[[#This Row],[Date]]=$A$5, $F14, EMA_Beta*$H13 + (1-EMA_Beta)*$F14)</f>
        <v>114.88262372996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6.0900000000000034</v>
      </c>
      <c r="N14" s="50">
        <f>MAX(tbl_AAPL[[#This Row],[Move]],0)</f>
        <v>6.0900000000000034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125.64</v>
      </c>
      <c r="G15">
        <v>345937600</v>
      </c>
      <c r="H15" s="10">
        <f>IF(tbl_AAPL[[#This Row],[Date]]=$A$5, $F15, EMA_Beta*$H14 + (1-EMA_Beta)*$F15)</f>
        <v>115.95836135696399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1.480000000000004</v>
      </c>
      <c r="N15" s="50">
        <f>MAX(tbl_AAPL[[#This Row],[Move]],0)</f>
        <v>1.480000000000004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124.61</v>
      </c>
      <c r="G16">
        <v>211495600</v>
      </c>
      <c r="H16" s="10">
        <f>IF(tbl_AAPL[[#This Row],[Date]]=$A$5, $F16, EMA_Beta*$H15 + (1-EMA_Beta)*$F16)</f>
        <v>116.82352522126759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-1.0300000000000011</v>
      </c>
      <c r="N16" s="50">
        <f>MAX(tbl_AAPL[[#This Row],[Move]],0)</f>
        <v>0</v>
      </c>
      <c r="O16" s="50">
        <f>MAX(-tbl_AAPL[[#This Row],[Move]],0)</f>
        <v>1.0300000000000011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126.3</v>
      </c>
      <c r="G17">
        <v>163022400</v>
      </c>
      <c r="H17" s="10">
        <f>IF(tbl_AAPL[[#This Row],[Date]]=$A$5, $F17, EMA_Beta*$H16 + (1-EMA_Beta)*$F17)</f>
        <v>117.77117269914082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1.6899999999999977</v>
      </c>
      <c r="N17" s="50">
        <f>MAX(tbl_AAPL[[#This Row],[Move]],0)</f>
        <v>1.6899999999999977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124.79</v>
      </c>
      <c r="G18">
        <v>155552400</v>
      </c>
      <c r="H18" s="10">
        <f>IF(tbl_AAPL[[#This Row],[Date]]=$A$5, $F18, EMA_Beta*$H17 + (1-EMA_Beta)*$F18)</f>
        <v>118.47305542922673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118.06499999999998</v>
      </c>
      <c r="K18" s="10">
        <f ca="1">IF(tbl_AAPL[[#This Row],[BB_Mean]]="", "", tbl_AAPL[[#This Row],[BB_Mean]]+(BB_Width*tbl_AAPL[[#This Row],[BB_Stdev]]))</f>
        <v>129.65245409085585</v>
      </c>
      <c r="L18" s="10">
        <f ca="1">IF(tbl_AAPL[[#This Row],[BB_Mean]]="", "", tbl_AAPL[[#This Row],[BB_Mean]]-(BB_Width*tbl_AAPL[[#This Row],[BB_Stdev]]))</f>
        <v>106.47754590914411</v>
      </c>
      <c r="M18" s="50">
        <f>IF(ROW(tbl_AAPL[[#This Row],[Adj Close]])=5, 0, $F18-$F17)</f>
        <v>-1.5099999999999909</v>
      </c>
      <c r="N18" s="50">
        <f>MAX(tbl_AAPL[[#This Row],[Move]],0)</f>
        <v>0</v>
      </c>
      <c r="O18" s="50">
        <f>MAX(-tbl_AAPL[[#This Row],[Move]],0)</f>
        <v>1.5099999999999909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5.793727045427933</v>
      </c>
    </row>
    <row r="19" spans="1:19" x14ac:dyDescent="0.3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124.59</v>
      </c>
      <c r="G19">
        <v>187630000</v>
      </c>
      <c r="H19" s="10">
        <f>IF(tbl_AAPL[[#This Row],[Date]]=$A$5, $F19, EMA_Beta*$H18 + (1-EMA_Beta)*$F19)</f>
        <v>119.08474988630407</v>
      </c>
      <c r="I19" s="50">
        <f ca="1">IF(tbl_AAPL[[#This Row],[RS]]= "", "", 100-(100/(1+tbl_AAPL[[#This Row],[RS]])))</f>
        <v>74.100719424460422</v>
      </c>
      <c r="J19" s="10">
        <f ca="1">IF(ROW($N19)-4&lt;BB_Periods, "", AVERAGE(INDIRECT(ADDRESS(ROW($F19)-RSI_Periods +1, MATCH("Adj Close", Price_Header,0))): INDIRECT(ADDRESS(ROW($F19),MATCH("Adj Close", Price_Header,0)))))</f>
        <v>118.92642857142856</v>
      </c>
      <c r="K19" s="10">
        <f ca="1">IF(tbl_AAPL[[#This Row],[BB_Mean]]="", "", tbl_AAPL[[#This Row],[BB_Mean]]+(BB_Width*tbl_AAPL[[#This Row],[BB_Stdev]]))</f>
        <v>130.53445128026192</v>
      </c>
      <c r="L19" s="10">
        <f ca="1">IF(tbl_AAPL[[#This Row],[BB_Mean]]="", "", tbl_AAPL[[#This Row],[BB_Mean]]-(BB_Width*tbl_AAPL[[#This Row],[BB_Stdev]]))</f>
        <v>107.31840586259518</v>
      </c>
      <c r="M19" s="50">
        <f>IF(ROW(tbl_AAPL[[#This Row],[Adj Close]])=5, 0, $F19-$F18)</f>
        <v>-0.20000000000000284</v>
      </c>
      <c r="N19" s="50">
        <f>MAX(tbl_AAPL[[#This Row],[Move]],0)</f>
        <v>0</v>
      </c>
      <c r="O19" s="50">
        <f>MAX(-tbl_AAPL[[#This Row],[Move]],0)</f>
        <v>0.20000000000000284</v>
      </c>
      <c r="P19" s="50">
        <f ca="1">IF(ROW($N19)-5&lt;RSI_Periods, "", AVERAGE(INDIRECT(ADDRESS(ROW($N19)-RSI_Periods +1, MATCH("Upmove", Price_Header,0))): INDIRECT(ADDRESS(ROW($N19),MATCH("Upmove", Price_Header,0)))))</f>
        <v>1.3242857142857147</v>
      </c>
      <c r="Q19" s="50">
        <f ca="1">IF(ROW($O19)-5&lt;RSI_Periods, "", AVERAGE(INDIRECT(ADDRESS(ROW($O19)-RSI_Periods +1, MATCH("Downmove", Price_Header,0))): INDIRECT(ADDRESS(ROW($O19),MATCH("Downmove", Price_Header,0)))))</f>
        <v>0.46285714285714313</v>
      </c>
      <c r="R19" s="50">
        <f ca="1">IF(tbl_AAPL[[#This Row],[Avg_Upmove]]="", "", tbl_AAPL[[#This Row],[Avg_Upmove]]/tbl_AAPL[[#This Row],[Avg_Downmove]])</f>
        <v>2.8611111111111103</v>
      </c>
      <c r="S19" s="50">
        <f ca="1">IF(ROW($N19)-4&lt;BB_Periods, "", _xlfn.STDEV.S(INDIRECT(ADDRESS(ROW($F19)-RSI_Periods +1, MATCH("Adj Close", Price_Header,0))): INDIRECT(ADDRESS(ROW($F19),MATCH("Adj Close", Price_Header,0)))))</f>
        <v>5.8040113544166871</v>
      </c>
    </row>
    <row r="20" spans="1:19" x14ac:dyDescent="0.3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128.82</v>
      </c>
      <c r="G20">
        <v>225702700</v>
      </c>
      <c r="H20" s="10">
        <f>IF(tbl_AAPL[[#This Row],[Date]]=$A$5, $F20, EMA_Beta*$H19 + (1-EMA_Beta)*$F20)</f>
        <v>120.05827489767366</v>
      </c>
      <c r="I20" s="50">
        <f ca="1">IF(tbl_AAPL[[#This Row],[RS]]= "", "", 100-(100/(1+tbl_AAPL[[#This Row],[RS]])))</f>
        <v>87.881126978000765</v>
      </c>
      <c r="J20" s="10">
        <f ca="1">IF(ROW($N20)-4&lt;BB_Periods, "", AVERAGE(INDIRECT(ADDRESS(ROW($F20)-RSI_Periods +1, MATCH("Adj Close", Price_Header,0))): INDIRECT(ADDRESS(ROW($F20),MATCH("Adj Close", Price_Header,0)))))</f>
        <v>120.32857142857141</v>
      </c>
      <c r="K20" s="10">
        <f ca="1">IF(tbl_AAPL[[#This Row],[BB_Mean]]="", "", tbl_AAPL[[#This Row],[BB_Mean]]+(BB_Width*tbl_AAPL[[#This Row],[BB_Stdev]]))</f>
        <v>131.6080391114362</v>
      </c>
      <c r="L20" s="10">
        <f ca="1">IF(tbl_AAPL[[#This Row],[BB_Mean]]="", "", tbl_AAPL[[#This Row],[BB_Mean]]-(BB_Width*tbl_AAPL[[#This Row],[BB_Stdev]]))</f>
        <v>109.04910374570662</v>
      </c>
      <c r="M20" s="50">
        <f>IF(ROW(tbl_AAPL[[#This Row],[Adj Close]])=5, 0, $F20-$F19)</f>
        <v>4.2299999999999898</v>
      </c>
      <c r="N20" s="50">
        <f>MAX(tbl_AAPL[[#This Row],[Move]],0)</f>
        <v>4.2299999999999898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1.6264285714285711</v>
      </c>
      <c r="Q20" s="50">
        <f ca="1">IF(ROW($O20)-5&lt;RSI_Periods, "", AVERAGE(INDIRECT(ADDRESS(ROW($O20)-RSI_Periods +1, MATCH("Downmove", Price_Header,0))): INDIRECT(ADDRESS(ROW($O20),MATCH("Downmove", Price_Header,0)))))</f>
        <v>0.22428571428571434</v>
      </c>
      <c r="R20" s="50">
        <f ca="1">IF(tbl_AAPL[[#This Row],[Avg_Upmove]]="", "", tbl_AAPL[[#This Row],[Avg_Upmove]]/tbl_AAPL[[#This Row],[Avg_Downmove]])</f>
        <v>7.2515923566878948</v>
      </c>
      <c r="S20" s="50">
        <f ca="1">IF(ROW($N20)-4&lt;BB_Periods, "", _xlfn.STDEV.S(INDIRECT(ADDRESS(ROW($F20)-RSI_Periods +1, MATCH("Adj Close", Price_Header,0))): INDIRECT(ADDRESS(ROW($F20),MATCH("Adj Close", Price_Header,0)))))</f>
        <v>5.6397338414323963</v>
      </c>
    </row>
    <row r="21" spans="1:19" x14ac:dyDescent="0.3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133.94999999999999</v>
      </c>
      <c r="G21">
        <v>152470100</v>
      </c>
      <c r="H21" s="10">
        <f>IF(tbl_AAPL[[#This Row],[Date]]=$A$5, $F21, EMA_Beta*$H20 + (1-EMA_Beta)*$F21)</f>
        <v>121.44744740790628</v>
      </c>
      <c r="I21" s="50">
        <f ca="1">IF(tbl_AAPL[[#This Row],[RS]]= "", "", 100-(100/(1+tbl_AAPL[[#This Row],[RS]])))</f>
        <v>88.544326887997073</v>
      </c>
      <c r="J21" s="10">
        <f ca="1">IF(ROW($N21)-4&lt;BB_Periods, "", AVERAGE(INDIRECT(ADDRESS(ROW($F21)-RSI_Periods +1, MATCH("Adj Close", Price_Header,0))): INDIRECT(ADDRESS(ROW($F21),MATCH("Adj Close", Price_Header,0)))))</f>
        <v>121.83785714285712</v>
      </c>
      <c r="K21" s="10">
        <f ca="1">IF(tbl_AAPL[[#This Row],[BB_Mean]]="", "", tbl_AAPL[[#This Row],[BB_Mean]]+(BB_Width*tbl_AAPL[[#This Row],[BB_Stdev]]))</f>
        <v>134.3740721981315</v>
      </c>
      <c r="L21" s="10">
        <f ca="1">IF(tbl_AAPL[[#This Row],[BB_Mean]]="", "", tbl_AAPL[[#This Row],[BB_Mean]]-(BB_Width*tbl_AAPL[[#This Row],[BB_Stdev]]))</f>
        <v>109.30164208758275</v>
      </c>
      <c r="M21" s="50">
        <f>IF(ROW(tbl_AAPL[[#This Row],[Adj Close]])=5, 0, $F21-$F20)</f>
        <v>5.1299999999999955</v>
      </c>
      <c r="N21" s="50">
        <f>MAX(tbl_AAPL[[#This Row],[Move]],0)</f>
        <v>5.1299999999999955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1.7335714285714283</v>
      </c>
      <c r="Q21" s="50">
        <f ca="1">IF(ROW($O21)-5&lt;RSI_Periods, "", AVERAGE(INDIRECT(ADDRESS(ROW($O21)-RSI_Periods +1, MATCH("Downmove", Price_Header,0))): INDIRECT(ADDRESS(ROW($O21),MATCH("Downmove", Price_Header,0)))))</f>
        <v>0.22428571428571434</v>
      </c>
      <c r="R21" s="50">
        <f ca="1">IF(tbl_AAPL[[#This Row],[Avg_Upmove]]="", "", tbl_AAPL[[#This Row],[Avg_Upmove]]/tbl_AAPL[[#This Row],[Avg_Downmove]])</f>
        <v>7.7292993630573221</v>
      </c>
      <c r="S21" s="50">
        <f ca="1">IF(ROW($N21)-4&lt;BB_Periods, "", _xlfn.STDEV.S(INDIRECT(ADDRESS(ROW($F21)-RSI_Periods +1, MATCH("Adj Close", Price_Header,0))): INDIRECT(ADDRESS(ROW($F21),MATCH("Adj Close", Price_Header,0)))))</f>
        <v>6.268107527637186</v>
      </c>
    </row>
    <row r="22" spans="1:19" x14ac:dyDescent="0.3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131.16999999999999</v>
      </c>
      <c r="G22">
        <v>200119000</v>
      </c>
      <c r="H22" s="10">
        <f>IF(tbl_AAPL[[#This Row],[Date]]=$A$5, $F22, EMA_Beta*$H21 + (1-EMA_Beta)*$F22)</f>
        <v>122.41970266711564</v>
      </c>
      <c r="I22" s="50">
        <f ca="1">IF(tbl_AAPL[[#This Row],[RS]]= "", "", 100-(100/(1+tbl_AAPL[[#This Row],[RS]])))</f>
        <v>79.007092198581546</v>
      </c>
      <c r="J22" s="10">
        <f ca="1">IF(ROW($N22)-4&lt;BB_Periods, "", AVERAGE(INDIRECT(ADDRESS(ROW($F22)-RSI_Periods +1, MATCH("Adj Close", Price_Header,0))): INDIRECT(ADDRESS(ROW($F22),MATCH("Adj Close", Price_Header,0)))))</f>
        <v>123.00642857142857</v>
      </c>
      <c r="K22" s="10">
        <f ca="1">IF(tbl_AAPL[[#This Row],[BB_Mean]]="", "", tbl_AAPL[[#This Row],[BB_Mean]]+(BB_Width*tbl_AAPL[[#This Row],[BB_Stdev]]))</f>
        <v>135.76862661491225</v>
      </c>
      <c r="L22" s="10">
        <f ca="1">IF(tbl_AAPL[[#This Row],[BB_Mean]]="", "", tbl_AAPL[[#This Row],[BB_Mean]]-(BB_Width*tbl_AAPL[[#This Row],[BB_Stdev]]))</f>
        <v>110.24423052794489</v>
      </c>
      <c r="M22" s="50">
        <f>IF(ROW(tbl_AAPL[[#This Row],[Adj Close]])=5, 0, $F22-$F21)</f>
        <v>-2.7800000000000011</v>
      </c>
      <c r="N22" s="50">
        <f>MAX(tbl_AAPL[[#This Row],[Move]],0)</f>
        <v>0</v>
      </c>
      <c r="O22" s="50">
        <f>MAX(-tbl_AAPL[[#This Row],[Move]],0)</f>
        <v>2.7800000000000011</v>
      </c>
      <c r="P22" s="50">
        <f ca="1">IF(ROW($N22)-5&lt;RSI_Periods, "", AVERAGE(INDIRECT(ADDRESS(ROW($N22)-RSI_Periods +1, MATCH("Upmove", Price_Header,0))): INDIRECT(ADDRESS(ROW($N22),MATCH("Upmove", Price_Header,0)))))</f>
        <v>1.5914285714285705</v>
      </c>
      <c r="Q22" s="50">
        <f ca="1">IF(ROW($O22)-5&lt;RSI_Periods, "", AVERAGE(INDIRECT(ADDRESS(ROW($O22)-RSI_Periods +1, MATCH("Downmove", Price_Header,0))): INDIRECT(ADDRESS(ROW($O22),MATCH("Downmove", Price_Header,0)))))</f>
        <v>0.42285714285714299</v>
      </c>
      <c r="R22" s="50">
        <f ca="1">IF(tbl_AAPL[[#This Row],[Avg_Upmove]]="", "", tbl_AAPL[[#This Row],[Avg_Upmove]]/tbl_AAPL[[#This Row],[Avg_Downmove]])</f>
        <v>3.76351351351351</v>
      </c>
      <c r="S22" s="50">
        <f ca="1">IF(ROW($N22)-4&lt;BB_Periods, "", _xlfn.STDEV.S(INDIRECT(ADDRESS(ROW($F22)-RSI_Periods +1, MATCH("Adj Close", Price_Header,0))): INDIRECT(ADDRESS(ROW($F22),MATCH("Adj Close", Price_Header,0)))))</f>
        <v>6.3810990217418428</v>
      </c>
    </row>
    <row r="23" spans="1:19" x14ac:dyDescent="0.3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120.67</v>
      </c>
      <c r="G23">
        <v>257599600</v>
      </c>
      <c r="H23" s="10">
        <f>IF(tbl_AAPL[[#This Row],[Date]]=$A$5, $F23, EMA_Beta*$H22 + (1-EMA_Beta)*$F23)</f>
        <v>122.24473240040408</v>
      </c>
      <c r="I23" s="50">
        <f ca="1">IF(tbl_AAPL[[#This Row],[RS]]= "", "", 100-(100/(1+tbl_AAPL[[#This Row],[RS]])))</f>
        <v>57.720207253886024</v>
      </c>
      <c r="J23" s="10">
        <f ca="1">IF(ROW($N23)-4&lt;BB_Periods, "", AVERAGE(INDIRECT(ADDRESS(ROW($F23)-RSI_Periods +1, MATCH("Adj Close", Price_Header,0))): INDIRECT(ADDRESS(ROW($F23),MATCH("Adj Close", Price_Header,0)))))</f>
        <v>123.43214285714285</v>
      </c>
      <c r="K23" s="10">
        <f ca="1">IF(tbl_AAPL[[#This Row],[BB_Mean]]="", "", tbl_AAPL[[#This Row],[BB_Mean]]+(BB_Width*tbl_AAPL[[#This Row],[BB_Stdev]]))</f>
        <v>135.373414992882</v>
      </c>
      <c r="L23" s="10">
        <f ca="1">IF(tbl_AAPL[[#This Row],[BB_Mean]]="", "", tbl_AAPL[[#This Row],[BB_Mean]]-(BB_Width*tbl_AAPL[[#This Row],[BB_Stdev]]))</f>
        <v>111.49087072140371</v>
      </c>
      <c r="M23" s="50">
        <f>IF(ROW(tbl_AAPL[[#This Row],[Adj Close]])=5, 0, $F23-$F22)</f>
        <v>-10.499999999999986</v>
      </c>
      <c r="N23" s="50">
        <f>MAX(tbl_AAPL[[#This Row],[Move]],0)</f>
        <v>0</v>
      </c>
      <c r="O23" s="50">
        <f>MAX(-tbl_AAPL[[#This Row],[Move]],0)</f>
        <v>10.499999999999986</v>
      </c>
      <c r="P23" s="50">
        <f ca="1">IF(ROW($N23)-5&lt;RSI_Periods, "", AVERAGE(INDIRECT(ADDRESS(ROW($N23)-RSI_Periods +1, MATCH("Upmove", Price_Header,0))): INDIRECT(ADDRESS(ROW($N23),MATCH("Upmove", Price_Header,0)))))</f>
        <v>1.5914285714285705</v>
      </c>
      <c r="Q23" s="50">
        <f ca="1">IF(ROW($O23)-5&lt;RSI_Periods, "", AVERAGE(INDIRECT(ADDRESS(ROW($O23)-RSI_Periods +1, MATCH("Downmove", Price_Header,0))): INDIRECT(ADDRESS(ROW($O23),MATCH("Downmove", Price_Header,0)))))</f>
        <v>1.1657142857142841</v>
      </c>
      <c r="R23" s="50">
        <f ca="1">IF(tbl_AAPL[[#This Row],[Avg_Upmove]]="", "", tbl_AAPL[[#This Row],[Avg_Upmove]]/tbl_AAPL[[#This Row],[Avg_Downmove]])</f>
        <v>1.3651960784313737</v>
      </c>
      <c r="S23" s="50">
        <f ca="1">IF(ROW($N23)-4&lt;BB_Periods, "", _xlfn.STDEV.S(INDIRECT(ADDRESS(ROW($F23)-RSI_Periods +1, MATCH("Adj Close", Price_Header,0))): INDIRECT(ADDRESS(ROW($F23),MATCH("Adj Close", Price_Header,0)))))</f>
        <v>5.9706360678695711</v>
      </c>
    </row>
    <row r="24" spans="1:19" x14ac:dyDescent="0.3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120.75</v>
      </c>
      <c r="G24">
        <v>332607200</v>
      </c>
      <c r="H24" s="10">
        <f>IF(tbl_AAPL[[#This Row],[Date]]=$A$5, $F24, EMA_Beta*$H23 + (1-EMA_Beta)*$F24)</f>
        <v>122.09525916036367</v>
      </c>
      <c r="I24" s="50">
        <f ca="1">IF(tbl_AAPL[[#This Row],[RS]]= "", "", 100-(100/(1+tbl_AAPL[[#This Row],[RS]])))</f>
        <v>58.259510161542472</v>
      </c>
      <c r="J24" s="10">
        <f ca="1">IF(ROW($N24)-4&lt;BB_Periods, "", AVERAGE(INDIRECT(ADDRESS(ROW($F24)-RSI_Periods +1, MATCH("Adj Close", Price_Header,0))): INDIRECT(ADDRESS(ROW($F24),MATCH("Adj Close", Price_Header,0)))))</f>
        <v>123.88500000000001</v>
      </c>
      <c r="K24" s="10">
        <f ca="1">IF(tbl_AAPL[[#This Row],[BB_Mean]]="", "", tbl_AAPL[[#This Row],[BB_Mean]]+(BB_Width*tbl_AAPL[[#This Row],[BB_Stdev]]))</f>
        <v>134.78812799154446</v>
      </c>
      <c r="L24" s="10">
        <f ca="1">IF(tbl_AAPL[[#This Row],[BB_Mean]]="", "", tbl_AAPL[[#This Row],[BB_Mean]]-(BB_Width*tbl_AAPL[[#This Row],[BB_Stdev]]))</f>
        <v>112.98187200845557</v>
      </c>
      <c r="M24" s="50">
        <f>IF(ROW(tbl_AAPL[[#This Row],[Adj Close]])=5, 0, $F24-$F23)</f>
        <v>7.9999999999998295E-2</v>
      </c>
      <c r="N24" s="50">
        <f>MAX(tbl_AAPL[[#This Row],[Move]],0)</f>
        <v>7.9999999999998295E-2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1.5971428571428561</v>
      </c>
      <c r="Q24" s="50">
        <f ca="1">IF(ROW($O24)-5&lt;RSI_Periods, "", AVERAGE(INDIRECT(ADDRESS(ROW($O24)-RSI_Periods +1, MATCH("Downmove", Price_Header,0))): INDIRECT(ADDRESS(ROW($O24),MATCH("Downmove", Price_Header,0)))))</f>
        <v>1.144285714285713</v>
      </c>
      <c r="R24" s="50">
        <f ca="1">IF(tbl_AAPL[[#This Row],[Avg_Upmove]]="", "", tbl_AAPL[[#This Row],[Avg_Upmove]]/tbl_AAPL[[#This Row],[Avg_Downmove]])</f>
        <v>1.3957553058676659</v>
      </c>
      <c r="S24" s="50">
        <f ca="1">IF(ROW($N24)-4&lt;BB_Periods, "", _xlfn.STDEV.S(INDIRECT(ADDRESS(ROW($F24)-RSI_Periods +1, MATCH("Adj Close", Price_Header,0))): INDIRECT(ADDRESS(ROW($F24),MATCH("Adj Close", Price_Header,0)))))</f>
        <v>5.4515639957722186</v>
      </c>
    </row>
    <row r="25" spans="1:19" x14ac:dyDescent="0.3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112.63</v>
      </c>
      <c r="G25">
        <v>231366600</v>
      </c>
      <c r="H25" s="10">
        <f>IF(tbl_AAPL[[#This Row],[Date]]=$A$5, $F25, EMA_Beta*$H24 + (1-EMA_Beta)*$F25)</f>
        <v>121.14873324432729</v>
      </c>
      <c r="I25" s="50">
        <f ca="1">IF(tbl_AAPL[[#This Row],[RS]]= "", "", 100-(100/(1+tbl_AAPL[[#This Row],[RS]])))</f>
        <v>47.003293084522497</v>
      </c>
      <c r="J25" s="10">
        <f ca="1">IF(ROW($N25)-4&lt;BB_Periods, "", AVERAGE(INDIRECT(ADDRESS(ROW($F25)-RSI_Periods +1, MATCH("Adj Close", Price_Header,0))): INDIRECT(ADDRESS(ROW($F25),MATCH("Adj Close", Price_Header,0)))))</f>
        <v>123.69000000000003</v>
      </c>
      <c r="K25" s="10">
        <f ca="1">IF(tbl_AAPL[[#This Row],[BB_Mean]]="", "", tbl_AAPL[[#This Row],[BB_Mean]]+(BB_Width*tbl_AAPL[[#This Row],[BB_Stdev]]))</f>
        <v>135.32312511752539</v>
      </c>
      <c r="L25" s="10">
        <f ca="1">IF(tbl_AAPL[[#This Row],[BB_Mean]]="", "", tbl_AAPL[[#This Row],[BB_Mean]]-(BB_Width*tbl_AAPL[[#This Row],[BB_Stdev]]))</f>
        <v>112.05687488247465</v>
      </c>
      <c r="M25" s="50">
        <f>IF(ROW(tbl_AAPL[[#This Row],[Adj Close]])=5, 0, $F25-$F24)</f>
        <v>-8.1200000000000045</v>
      </c>
      <c r="N25" s="50">
        <f>MAX(tbl_AAPL[[#This Row],[Move]],0)</f>
        <v>0</v>
      </c>
      <c r="O25" s="50">
        <f>MAX(-tbl_AAPL[[#This Row],[Move]],0)</f>
        <v>8.1200000000000045</v>
      </c>
      <c r="P25" s="50">
        <f ca="1">IF(ROW($N25)-5&lt;RSI_Periods, "", AVERAGE(INDIRECT(ADDRESS(ROW($N25)-RSI_Periods +1, MATCH("Upmove", Price_Header,0))): INDIRECT(ADDRESS(ROW($N25),MATCH("Upmove", Price_Header,0)))))</f>
        <v>1.529285714285713</v>
      </c>
      <c r="Q25" s="50">
        <f ca="1">IF(ROW($O25)-5&lt;RSI_Periods, "", AVERAGE(INDIRECT(ADDRESS(ROW($O25)-RSI_Periods +1, MATCH("Downmove", Price_Header,0))): INDIRECT(ADDRESS(ROW($O25),MATCH("Downmove", Price_Header,0)))))</f>
        <v>1.7242857142857133</v>
      </c>
      <c r="R25" s="50">
        <f ca="1">IF(tbl_AAPL[[#This Row],[Avg_Upmove]]="", "", tbl_AAPL[[#This Row],[Avg_Upmove]]/tbl_AAPL[[#This Row],[Avg_Downmove]])</f>
        <v>0.88690969345484649</v>
      </c>
      <c r="S25" s="50">
        <f ca="1">IF(ROW($N25)-4&lt;BB_Periods, "", _xlfn.STDEV.S(INDIRECT(ADDRESS(ROW($F25)-RSI_Periods +1, MATCH("Adj Close", Price_Header,0))): INDIRECT(ADDRESS(ROW($F25),MATCH("Adj Close", Price_Header,0)))))</f>
        <v>5.8165625587626897</v>
      </c>
    </row>
    <row r="26" spans="1:19" x14ac:dyDescent="0.3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117.12</v>
      </c>
      <c r="G26">
        <v>176940500</v>
      </c>
      <c r="H26" s="10">
        <f>IF(tbl_AAPL[[#This Row],[Date]]=$A$5, $F26, EMA_Beta*$H25 + (1-EMA_Beta)*$F26)</f>
        <v>120.74585991989457</v>
      </c>
      <c r="I26" s="50">
        <f ca="1">IF(tbl_AAPL[[#This Row],[RS]]= "", "", 100-(100/(1+tbl_AAPL[[#This Row],[RS]])))</f>
        <v>51.61354980958108</v>
      </c>
      <c r="J26" s="10">
        <f ca="1">IF(ROW($N26)-4&lt;BB_Periods, "", AVERAGE(INDIRECT(ADDRESS(ROW($F26)-RSI_Periods +1, MATCH("Adj Close", Price_Header,0))): INDIRECT(ADDRESS(ROW($F26),MATCH("Adj Close", Price_Header,0)))))</f>
        <v>123.80499999999999</v>
      </c>
      <c r="K26" s="10">
        <f ca="1">IF(tbl_AAPL[[#This Row],[BB_Mean]]="", "", tbl_AAPL[[#This Row],[BB_Mean]]+(BB_Width*tbl_AAPL[[#This Row],[BB_Stdev]]))</f>
        <v>135.11719287725893</v>
      </c>
      <c r="L26" s="10">
        <f ca="1">IF(tbl_AAPL[[#This Row],[BB_Mean]]="", "", tbl_AAPL[[#This Row],[BB_Mean]]-(BB_Width*tbl_AAPL[[#This Row],[BB_Stdev]]))</f>
        <v>112.49280712274107</v>
      </c>
      <c r="M26" s="50">
        <f>IF(ROW(tbl_AAPL[[#This Row],[Adj Close]])=5, 0, $F26-$F25)</f>
        <v>4.4900000000000091</v>
      </c>
      <c r="N26" s="50">
        <f>MAX(tbl_AAPL[[#This Row],[Move]],0)</f>
        <v>4.4900000000000091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1.8392857142857133</v>
      </c>
      <c r="Q26" s="50">
        <f ca="1">IF(ROW($O26)-5&lt;RSI_Periods, "", AVERAGE(INDIRECT(ADDRESS(ROW($O26)-RSI_Periods +1, MATCH("Downmove", Price_Header,0))): INDIRECT(ADDRESS(ROW($O26),MATCH("Downmove", Price_Header,0)))))</f>
        <v>1.7242857142857133</v>
      </c>
      <c r="R26" s="50">
        <f ca="1">IF(tbl_AAPL[[#This Row],[Avg_Upmove]]="", "", tbl_AAPL[[#This Row],[Avg_Upmove]]/tbl_AAPL[[#This Row],[Avg_Downmove]])</f>
        <v>1.0666942833471418</v>
      </c>
      <c r="S26" s="50">
        <f ca="1">IF(ROW($N26)-4&lt;BB_Periods, "", _xlfn.STDEV.S(INDIRECT(ADDRESS(ROW($F26)-RSI_Periods +1, MATCH("Adj Close", Price_Header,0))): INDIRECT(ADDRESS(ROW($F26),MATCH("Adj Close", Price_Header,0)))))</f>
        <v>5.6560964386294632</v>
      </c>
    </row>
    <row r="27" spans="1:19" x14ac:dyDescent="0.3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113.29</v>
      </c>
      <c r="G27">
        <v>182274400</v>
      </c>
      <c r="H27" s="10">
        <f>IF(tbl_AAPL[[#This Row],[Date]]=$A$5, $F27, EMA_Beta*$H26 + (1-EMA_Beta)*$F27)</f>
        <v>120.00027392790511</v>
      </c>
      <c r="I27" s="50">
        <f ca="1">IF(tbl_AAPL[[#This Row],[RS]]= "", "", 100-(100/(1+tbl_AAPL[[#This Row],[RS]])))</f>
        <v>45.328381548084458</v>
      </c>
      <c r="J27" s="10">
        <f ca="1">IF(ROW($N27)-4&lt;BB_Periods, "", AVERAGE(INDIRECT(ADDRESS(ROW($F27)-RSI_Periods +1, MATCH("Adj Close", Price_Header,0))): INDIRECT(ADDRESS(ROW($F27),MATCH("Adj Close", Price_Header,0)))))</f>
        <v>123.46357142857144</v>
      </c>
      <c r="K27" s="10">
        <f ca="1">IF(tbl_AAPL[[#This Row],[BB_Mean]]="", "", tbl_AAPL[[#This Row],[BB_Mean]]+(BB_Width*tbl_AAPL[[#This Row],[BB_Stdev]]))</f>
        <v>135.7665607017093</v>
      </c>
      <c r="L27" s="10">
        <f ca="1">IF(tbl_AAPL[[#This Row],[BB_Mean]]="", "", tbl_AAPL[[#This Row],[BB_Mean]]-(BB_Width*tbl_AAPL[[#This Row],[BB_Stdev]]))</f>
        <v>111.1605821554336</v>
      </c>
      <c r="M27" s="50">
        <f>IF(ROW(tbl_AAPL[[#This Row],[Adj Close]])=5, 0, $F27-$F26)</f>
        <v>-3.8299999999999983</v>
      </c>
      <c r="N27" s="50">
        <f>MAX(tbl_AAPL[[#This Row],[Move]],0)</f>
        <v>0</v>
      </c>
      <c r="O27" s="50">
        <f>MAX(-tbl_AAPL[[#This Row],[Move]],0)</f>
        <v>3.8299999999999983</v>
      </c>
      <c r="P27" s="50">
        <f ca="1">IF(ROW($N27)-5&lt;RSI_Periods, "", AVERAGE(INDIRECT(ADDRESS(ROW($N27)-RSI_Periods +1, MATCH("Upmove", Price_Header,0))): INDIRECT(ADDRESS(ROW($N27),MATCH("Upmove", Price_Header,0)))))</f>
        <v>1.6564285714285714</v>
      </c>
      <c r="Q27" s="50">
        <f ca="1">IF(ROW($O27)-5&lt;RSI_Periods, "", AVERAGE(INDIRECT(ADDRESS(ROW($O27)-RSI_Periods +1, MATCH("Downmove", Price_Header,0))): INDIRECT(ADDRESS(ROW($O27),MATCH("Downmove", Price_Header,0)))))</f>
        <v>1.9978571428571417</v>
      </c>
      <c r="R27" s="50">
        <f ca="1">IF(tbl_AAPL[[#This Row],[Avg_Upmove]]="", "", tbl_AAPL[[#This Row],[Avg_Upmove]]/tbl_AAPL[[#This Row],[Avg_Downmove]])</f>
        <v>0.82910260993922102</v>
      </c>
      <c r="S27" s="50">
        <f ca="1">IF(ROW($N27)-4&lt;BB_Periods, "", _xlfn.STDEV.S(INDIRECT(ADDRESS(ROW($F27)-RSI_Periods +1, MATCH("Adj Close", Price_Header,0))): INDIRECT(ADDRESS(ROW($F27),MATCH("Adj Close", Price_Header,0)))))</f>
        <v>6.1514946365689225</v>
      </c>
    </row>
    <row r="28" spans="1:19" x14ac:dyDescent="0.3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111.81</v>
      </c>
      <c r="G28">
        <v>180487500</v>
      </c>
      <c r="H28" s="10">
        <f>IF(tbl_AAPL[[#This Row],[Date]]=$A$5, $F28, EMA_Beta*$H27 + (1-EMA_Beta)*$F28)</f>
        <v>119.1812465351146</v>
      </c>
      <c r="I28" s="50">
        <f ca="1">IF(tbl_AAPL[[#This Row],[RS]]= "", "", 100-(100/(1+tbl_AAPL[[#This Row],[RS]])))</f>
        <v>36.734693877551017</v>
      </c>
      <c r="J28" s="10">
        <f ca="1">IF(ROW($N28)-4&lt;BB_Periods, "", AVERAGE(INDIRECT(ADDRESS(ROW($F28)-RSI_Periods +1, MATCH("Adj Close", Price_Header,0))): INDIRECT(ADDRESS(ROW($F28),MATCH("Adj Close", Price_Header,0)))))</f>
        <v>122.58142857142856</v>
      </c>
      <c r="K28" s="10">
        <f ca="1">IF(tbl_AAPL[[#This Row],[BB_Mean]]="", "", tbl_AAPL[[#This Row],[BB_Mean]]+(BB_Width*tbl_AAPL[[#This Row],[BB_Stdev]]))</f>
        <v>136.35272281180207</v>
      </c>
      <c r="L28" s="10">
        <f ca="1">IF(tbl_AAPL[[#This Row],[BB_Mean]]="", "", tbl_AAPL[[#This Row],[BB_Mean]]-(BB_Width*tbl_AAPL[[#This Row],[BB_Stdev]]))</f>
        <v>108.81013433105504</v>
      </c>
      <c r="M28" s="50">
        <f>IF(ROW(tbl_AAPL[[#This Row],[Adj Close]])=5, 0, $F28-$F27)</f>
        <v>-1.480000000000004</v>
      </c>
      <c r="N28" s="50">
        <f>MAX(tbl_AAPL[[#This Row],[Move]],0)</f>
        <v>0</v>
      </c>
      <c r="O28" s="50">
        <f>MAX(-tbl_AAPL[[#This Row],[Move]],0)</f>
        <v>1.480000000000004</v>
      </c>
      <c r="P28" s="50">
        <f ca="1">IF(ROW($N28)-5&lt;RSI_Periods, "", AVERAGE(INDIRECT(ADDRESS(ROW($N28)-RSI_Periods +1, MATCH("Upmove", Price_Header,0))): INDIRECT(ADDRESS(ROW($N28),MATCH("Upmove", Price_Header,0)))))</f>
        <v>1.2214285714285711</v>
      </c>
      <c r="Q28" s="50">
        <f ca="1">IF(ROW($O28)-5&lt;RSI_Periods, "", AVERAGE(INDIRECT(ADDRESS(ROW($O28)-RSI_Periods +1, MATCH("Downmove", Price_Header,0))): INDIRECT(ADDRESS(ROW($O28),MATCH("Downmove", Price_Header,0)))))</f>
        <v>2.1035714285714278</v>
      </c>
      <c r="R28" s="50">
        <f ca="1">IF(tbl_AAPL[[#This Row],[Avg_Upmove]]="", "", tbl_AAPL[[#This Row],[Avg_Upmove]]/tbl_AAPL[[#This Row],[Avg_Downmove]])</f>
        <v>0.58064516129032262</v>
      </c>
      <c r="S28" s="50">
        <f ca="1">IF(ROW($N28)-4&lt;BB_Periods, "", _xlfn.STDEV.S(INDIRECT(ADDRESS(ROW($F28)-RSI_Periods +1, MATCH("Adj Close", Price_Header,0))): INDIRECT(ADDRESS(ROW($F28),MATCH("Adj Close", Price_Header,0)))))</f>
        <v>6.8856471201867588</v>
      </c>
    </row>
    <row r="29" spans="1:19" x14ac:dyDescent="0.3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115.16</v>
      </c>
      <c r="G29">
        <v>140150100</v>
      </c>
      <c r="H29" s="10">
        <f>IF(tbl_AAPL[[#This Row],[Date]]=$A$5, $F29, EMA_Beta*$H28 + (1-EMA_Beta)*$F29)</f>
        <v>118.77912188160313</v>
      </c>
      <c r="I29" s="50">
        <f ca="1">IF(tbl_AAPL[[#This Row],[RS]]= "", "", 100-(100/(1+tbl_AAPL[[#This Row],[RS]])))</f>
        <v>39.178025609252366</v>
      </c>
      <c r="J29" s="10">
        <f ca="1">IF(ROW($N29)-4&lt;BB_Periods, "", AVERAGE(INDIRECT(ADDRESS(ROW($F29)-RSI_Periods +1, MATCH("Adj Close", Price_Header,0))): INDIRECT(ADDRESS(ROW($F29),MATCH("Adj Close", Price_Header,0)))))</f>
        <v>121.83285714285712</v>
      </c>
      <c r="K29" s="10">
        <f ca="1">IF(tbl_AAPL[[#This Row],[BB_Mean]]="", "", tbl_AAPL[[#This Row],[BB_Mean]]+(BB_Width*tbl_AAPL[[#This Row],[BB_Stdev]]))</f>
        <v>136.02099396111575</v>
      </c>
      <c r="L29" s="10">
        <f ca="1">IF(tbl_AAPL[[#This Row],[BB_Mean]]="", "", tbl_AAPL[[#This Row],[BB_Mean]]-(BB_Width*tbl_AAPL[[#This Row],[BB_Stdev]]))</f>
        <v>107.6447203245985</v>
      </c>
      <c r="M29" s="50">
        <f>IF(ROW(tbl_AAPL[[#This Row],[Adj Close]])=5, 0, $F29-$F28)</f>
        <v>3.3499999999999943</v>
      </c>
      <c r="N29" s="50">
        <f>MAX(tbl_AAPL[[#This Row],[Move]],0)</f>
        <v>3.3499999999999943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1.3549999999999989</v>
      </c>
      <c r="Q29" s="50">
        <f ca="1">IF(ROW($O29)-5&lt;RSI_Periods, "", AVERAGE(INDIRECT(ADDRESS(ROW($O29)-RSI_Periods +1, MATCH("Downmove", Price_Header,0))): INDIRECT(ADDRESS(ROW($O29),MATCH("Downmove", Price_Header,0)))))</f>
        <v>2.1035714285714278</v>
      </c>
      <c r="R29" s="50">
        <f ca="1">IF(tbl_AAPL[[#This Row],[Avg_Upmove]]="", "", tbl_AAPL[[#This Row],[Avg_Upmove]]/tbl_AAPL[[#This Row],[Avg_Downmove]])</f>
        <v>0.6441426146010184</v>
      </c>
      <c r="S29" s="50">
        <f ca="1">IF(ROW($N29)-4&lt;BB_Periods, "", _xlfn.STDEV.S(INDIRECT(ADDRESS(ROW($F29)-RSI_Periods +1, MATCH("Adj Close", Price_Header,0))): INDIRECT(ADDRESS(ROW($F29),MATCH("Adj Close", Price_Header,0)))))</f>
        <v>7.0940684091293154</v>
      </c>
    </row>
    <row r="30" spans="1:19" x14ac:dyDescent="0.3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115.34</v>
      </c>
      <c r="G30">
        <v>184642000</v>
      </c>
      <c r="H30" s="10">
        <f>IF(tbl_AAPL[[#This Row],[Date]]=$A$5, $F30, EMA_Beta*$H29 + (1-EMA_Beta)*$F30)</f>
        <v>118.43520969344281</v>
      </c>
      <c r="I30" s="50">
        <f ca="1">IF(tbl_AAPL[[#This Row],[RS]]= "", "", 100-(100/(1+tbl_AAPL[[#This Row],[RS]])))</f>
        <v>40.256464158082828</v>
      </c>
      <c r="J30" s="10">
        <f ca="1">IF(ROW($N30)-4&lt;BB_Periods, "", AVERAGE(INDIRECT(ADDRESS(ROW($F30)-RSI_Periods +1, MATCH("Adj Close", Price_Header,0))): INDIRECT(ADDRESS(ROW($F30),MATCH("Adj Close", Price_Header,0)))))</f>
        <v>121.17071428571428</v>
      </c>
      <c r="K30" s="10">
        <f ca="1">IF(tbl_AAPL[[#This Row],[BB_Mean]]="", "", tbl_AAPL[[#This Row],[BB_Mean]]+(BB_Width*tbl_AAPL[[#This Row],[BB_Stdev]]))</f>
        <v>135.66253789933694</v>
      </c>
      <c r="L30" s="10">
        <f ca="1">IF(tbl_AAPL[[#This Row],[BB_Mean]]="", "", tbl_AAPL[[#This Row],[BB_Mean]]-(BB_Width*tbl_AAPL[[#This Row],[BB_Stdev]]))</f>
        <v>106.67889067209163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1.3678571428571422</v>
      </c>
      <c r="Q30" s="50">
        <f ca="1">IF(ROW($O30)-5&lt;RSI_Periods, "", AVERAGE(INDIRECT(ADDRESS(ROW($O30)-RSI_Periods +1, MATCH("Downmove", Price_Header,0))): INDIRECT(ADDRESS(ROW($O30),MATCH("Downmove", Price_Header,0)))))</f>
        <v>2.0299999999999989</v>
      </c>
      <c r="R30" s="50">
        <f ca="1">IF(tbl_AAPL[[#This Row],[Avg_Upmove]]="", "", tbl_AAPL[[#This Row],[Avg_Upmove]]/tbl_AAPL[[#This Row],[Avg_Downmove]])</f>
        <v>0.67382125263898662</v>
      </c>
      <c r="S30" s="50">
        <f ca="1">IF(ROW($N30)-4&lt;BB_Periods, "", _xlfn.STDEV.S(INDIRECT(ADDRESS(ROW($F30)-RSI_Periods +1, MATCH("Adj Close", Price_Header,0))): INDIRECT(ADDRESS(ROW($F30),MATCH("Adj Close", Price_Header,0)))))</f>
        <v>7.245911806811332</v>
      </c>
    </row>
    <row r="31" spans="1:19" x14ac:dyDescent="0.3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111.94</v>
      </c>
      <c r="G31">
        <v>154679000</v>
      </c>
      <c r="H31" s="10">
        <f>IF(tbl_AAPL[[#This Row],[Date]]=$A$5, $F31, EMA_Beta*$H30 + (1-EMA_Beta)*$F31)</f>
        <v>117.78568872409853</v>
      </c>
      <c r="I31" s="50">
        <f ca="1">IF(tbl_AAPL[[#This Row],[RS]]= "", "", 100-(100/(1+tbl_AAPL[[#This Row],[RS]])))</f>
        <v>35.430194805194802</v>
      </c>
      <c r="J31" s="10">
        <f ca="1">IF(ROW($N31)-4&lt;BB_Periods, "", AVERAGE(INDIRECT(ADDRESS(ROW($F31)-RSI_Periods +1, MATCH("Adj Close", Price_Header,0))): INDIRECT(ADDRESS(ROW($F31),MATCH("Adj Close", Price_Header,0)))))</f>
        <v>120.14499999999998</v>
      </c>
      <c r="K31" s="10">
        <f ca="1">IF(tbl_AAPL[[#This Row],[BB_Mean]]="", "", tbl_AAPL[[#This Row],[BB_Mean]]+(BB_Width*tbl_AAPL[[#This Row],[BB_Stdev]]))</f>
        <v>135.09835671088857</v>
      </c>
      <c r="L31" s="10">
        <f ca="1">IF(tbl_AAPL[[#This Row],[BB_Mean]]="", "", tbl_AAPL[[#This Row],[BB_Mean]]-(BB_Width*tbl_AAPL[[#This Row],[BB_Stdev]]))</f>
        <v>105.1916432891114</v>
      </c>
      <c r="M31" s="50">
        <f>IF(ROW(tbl_AAPL[[#This Row],[Adj Close]])=5, 0, $F31-$F30)</f>
        <v>-3.4000000000000057</v>
      </c>
      <c r="N31" s="50">
        <f>MAX(tbl_AAPL[[#This Row],[Move]],0)</f>
        <v>0</v>
      </c>
      <c r="O31" s="50">
        <f>MAX(-tbl_AAPL[[#This Row],[Move]],0)</f>
        <v>3.4000000000000057</v>
      </c>
      <c r="P31" s="50">
        <f ca="1">IF(ROW($N31)-5&lt;RSI_Periods, "", AVERAGE(INDIRECT(ADDRESS(ROW($N31)-RSI_Periods +1, MATCH("Upmove", Price_Header,0))): INDIRECT(ADDRESS(ROW($N31),MATCH("Upmove", Price_Header,0)))))</f>
        <v>1.2471428571428567</v>
      </c>
      <c r="Q31" s="50">
        <f ca="1">IF(ROW($O31)-5&lt;RSI_Periods, "", AVERAGE(INDIRECT(ADDRESS(ROW($O31)-RSI_Periods +1, MATCH("Downmove", Price_Header,0))): INDIRECT(ADDRESS(ROW($O31),MATCH("Downmove", Price_Header,0)))))</f>
        <v>2.2728571428571422</v>
      </c>
      <c r="R31" s="50">
        <f ca="1">IF(tbl_AAPL[[#This Row],[Avg_Upmove]]="", "", tbl_AAPL[[#This Row],[Avg_Upmove]]/tbl_AAPL[[#This Row],[Avg_Downmove]])</f>
        <v>0.54871150219987419</v>
      </c>
      <c r="S31" s="50">
        <f ca="1">IF(ROW($N31)-4&lt;BB_Periods, "", _xlfn.STDEV.S(INDIRECT(ADDRESS(ROW($F31)-RSI_Periods +1, MATCH("Adj Close", Price_Header,0))): INDIRECT(ADDRESS(ROW($F31),MATCH("Adj Close", Price_Header,0)))))</f>
        <v>7.4766783554442933</v>
      </c>
    </row>
    <row r="32" spans="1:19" x14ac:dyDescent="0.3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110.15</v>
      </c>
      <c r="G32">
        <v>178011000</v>
      </c>
      <c r="H32" s="10">
        <f>IF(tbl_AAPL[[#This Row],[Date]]=$A$5, $F32, EMA_Beta*$H31 + (1-EMA_Beta)*$F32)</f>
        <v>117.02211985168869</v>
      </c>
      <c r="I32" s="50">
        <f ca="1">IF(tbl_AAPL[[#This Row],[RS]]= "", "", 100-(100/(1+tbl_AAPL[[#This Row],[RS]])))</f>
        <v>35.230024213075055</v>
      </c>
      <c r="J32" s="10">
        <f ca="1">IF(ROW($N32)-4&lt;BB_Periods, "", AVERAGE(INDIRECT(ADDRESS(ROW($F32)-RSI_Periods +1, MATCH("Adj Close", Price_Header,0))): INDIRECT(ADDRESS(ROW($F32),MATCH("Adj Close", Price_Header,0)))))</f>
        <v>119.09928571428573</v>
      </c>
      <c r="K32" s="10">
        <f ca="1">IF(tbl_AAPL[[#This Row],[BB_Mean]]="", "", tbl_AAPL[[#This Row],[BB_Mean]]+(BB_Width*tbl_AAPL[[#This Row],[BB_Stdev]]))</f>
        <v>134.68748729661806</v>
      </c>
      <c r="L32" s="10">
        <f ca="1">IF(tbl_AAPL[[#This Row],[BB_Mean]]="", "", tbl_AAPL[[#This Row],[BB_Mean]]-(BB_Width*tbl_AAPL[[#This Row],[BB_Stdev]]))</f>
        <v>103.5110841319534</v>
      </c>
      <c r="M32" s="50">
        <f>IF(ROW(tbl_AAPL[[#This Row],[Adj Close]])=5, 0, $F32-$F31)</f>
        <v>-1.789999999999992</v>
      </c>
      <c r="N32" s="50">
        <f>MAX(tbl_AAPL[[#This Row],[Move]],0)</f>
        <v>0</v>
      </c>
      <c r="O32" s="50">
        <f>MAX(-tbl_AAPL[[#This Row],[Move]],0)</f>
        <v>1.789999999999992</v>
      </c>
      <c r="P32" s="50">
        <f ca="1">IF(ROW($N32)-5&lt;RSI_Periods, "", AVERAGE(INDIRECT(ADDRESS(ROW($N32)-RSI_Periods +1, MATCH("Upmove", Price_Header,0))): INDIRECT(ADDRESS(ROW($N32),MATCH("Upmove", Price_Header,0)))))</f>
        <v>1.2471428571428567</v>
      </c>
      <c r="Q32" s="50">
        <f ca="1">IF(ROW($O32)-5&lt;RSI_Periods, "", AVERAGE(INDIRECT(ADDRESS(ROW($O32)-RSI_Periods +1, MATCH("Downmove", Price_Header,0))): INDIRECT(ADDRESS(ROW($O32),MATCH("Downmove", Price_Header,0)))))</f>
        <v>2.2928571428571423</v>
      </c>
      <c r="R32" s="50">
        <f ca="1">IF(tbl_AAPL[[#This Row],[Avg_Upmove]]="", "", tbl_AAPL[[#This Row],[Avg_Upmove]]/tbl_AAPL[[#This Row],[Avg_Downmove]])</f>
        <v>0.54392523364485978</v>
      </c>
      <c r="S32" s="50">
        <f ca="1">IF(ROW($N32)-4&lt;BB_Periods, "", _xlfn.STDEV.S(INDIRECT(ADDRESS(ROW($F32)-RSI_Periods +1, MATCH("Adj Close", Price_Header,0))): INDIRECT(ADDRESS(ROW($F32),MATCH("Adj Close", Price_Header,0)))))</f>
        <v>7.7941007911661666</v>
      </c>
    </row>
    <row r="33" spans="1:19" x14ac:dyDescent="0.3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106.66</v>
      </c>
      <c r="G33">
        <v>287104900</v>
      </c>
      <c r="H33" s="127">
        <f>IF(tbl_AAPL[[#This Row],[Date]]=$A$5, $F33, EMA_Beta*$H32 + (1-EMA_Beta)*$F33)</f>
        <v>115.98590786651981</v>
      </c>
      <c r="I33" s="50">
        <f ca="1">IF(tbl_AAPL[[#This Row],[RS]]= "", "", 100-(100/(1+tbl_AAPL[[#This Row],[RS]])))</f>
        <v>33.03689687795648</v>
      </c>
      <c r="J33" s="127">
        <f ca="1">IF(ROW($N33)-4&lt;BB_Periods, "", AVERAGE(INDIRECT(ADDRESS(ROW($F33)-RSI_Periods +1, MATCH("Adj Close", Price_Header,0))): INDIRECT(ADDRESS(ROW($F33),MATCH("Adj Close", Price_Header,0)))))</f>
        <v>117.81857142857143</v>
      </c>
      <c r="K33" s="127">
        <f ca="1">IF(tbl_AAPL[[#This Row],[BB_Mean]]="", "", tbl_AAPL[[#This Row],[BB_Mean]]+(BB_Width*tbl_AAPL[[#This Row],[BB_Stdev]]))</f>
        <v>134.37940354654063</v>
      </c>
      <c r="L33" s="127">
        <f ca="1">IF(tbl_AAPL[[#This Row],[BB_Mean]]="", "", tbl_AAPL[[#This Row],[BB_Mean]]-(BB_Width*tbl_AAPL[[#This Row],[BB_Stdev]]))</f>
        <v>101.25773931060223</v>
      </c>
      <c r="M33" s="50">
        <f>IF(ROW(tbl_AAPL[[#This Row],[Adj Close]])=5, 0, $F33-$F32)</f>
        <v>-3.4900000000000091</v>
      </c>
      <c r="N33" s="50">
        <f>MAX(tbl_AAPL[[#This Row],[Move]],0)</f>
        <v>0</v>
      </c>
      <c r="O33" s="50">
        <f>MAX(-tbl_AAPL[[#This Row],[Move]],0)</f>
        <v>3.4900000000000091</v>
      </c>
      <c r="P33" s="50">
        <f ca="1">IF(ROW($N33)-5&lt;RSI_Periods, "", AVERAGE(INDIRECT(ADDRESS(ROW($N33)-RSI_Periods +1, MATCH("Upmove", Price_Header,0))): INDIRECT(ADDRESS(ROW($N33),MATCH("Upmove", Price_Header,0)))))</f>
        <v>1.2471428571428567</v>
      </c>
      <c r="Q33" s="50">
        <f ca="1">IF(ROW($O33)-5&lt;RSI_Periods, "", AVERAGE(INDIRECT(ADDRESS(ROW($O33)-RSI_Periods +1, MATCH("Downmove", Price_Header,0))): INDIRECT(ADDRESS(ROW($O33),MATCH("Downmove", Price_Header,0)))))</f>
        <v>2.527857142857143</v>
      </c>
      <c r="R33" s="50">
        <f ca="1">IF(tbl_AAPL[[#This Row],[Avg_Upmove]]="", "", tbl_AAPL[[#This Row],[Avg_Upmove]]/tbl_AAPL[[#This Row],[Avg_Downmove]])</f>
        <v>0.4933597061316754</v>
      </c>
      <c r="S33" s="50">
        <f ca="1">IF(ROW($N33)-4&lt;BB_Periods, "", _xlfn.STDEV.S(INDIRECT(ADDRESS(ROW($F33)-RSI_Periods +1, MATCH("Adj Close", Price_Header,0))): INDIRECT(ADDRESS(ROW($F33),MATCH("Adj Close", Price_Header,0)))))</f>
        <v>8.2804160589845992</v>
      </c>
    </row>
    <row r="34" spans="1:19" x14ac:dyDescent="0.3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109.89</v>
      </c>
      <c r="G34">
        <v>195713800</v>
      </c>
      <c r="H34" s="127">
        <f>IF(tbl_AAPL[[#This Row],[Date]]=$A$5, $F34, EMA_Beta*$H33 + (1-EMA_Beta)*$F34)</f>
        <v>115.37631707986782</v>
      </c>
      <c r="I34" s="50">
        <f ca="1">IF(tbl_AAPL[[#This Row],[RS]]= "", "", 100-(100/(1+tbl_AAPL[[#This Row],[RS]])))</f>
        <v>31.745419479267127</v>
      </c>
      <c r="J34" s="127">
        <f ca="1">IF(ROW($N34)-4&lt;BB_Periods, "", AVERAGE(INDIRECT(ADDRESS(ROW($F34)-RSI_Periods +1, MATCH("Adj Close", Price_Header,0))): INDIRECT(ADDRESS(ROW($F34),MATCH("Adj Close", Price_Header,0)))))</f>
        <v>116.46642857142861</v>
      </c>
      <c r="K34" s="127">
        <f ca="1">IF(tbl_AAPL[[#This Row],[BB_Mean]]="", "", tbl_AAPL[[#This Row],[BB_Mean]]+(BB_Width*tbl_AAPL[[#This Row],[BB_Stdev]]))</f>
        <v>132.22990653038923</v>
      </c>
      <c r="L34" s="127">
        <f ca="1">IF(tbl_AAPL[[#This Row],[BB_Mean]]="", "", tbl_AAPL[[#This Row],[BB_Mean]]-(BB_Width*tbl_AAPL[[#This Row],[BB_Stdev]]))</f>
        <v>100.70295061246799</v>
      </c>
      <c r="M34" s="50">
        <f>IF(ROW(tbl_AAPL[[#This Row],[Adj Close]])=5, 0, $F34-$F33)</f>
        <v>3.230000000000004</v>
      </c>
      <c r="N34" s="50">
        <f>MAX(tbl_AAPL[[#This Row],[Move]],0)</f>
        <v>3.230000000000004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1.1757142857142864</v>
      </c>
      <c r="Q34" s="50">
        <f ca="1">IF(ROW($O34)-5&lt;RSI_Periods, "", AVERAGE(INDIRECT(ADDRESS(ROW($O34)-RSI_Periods +1, MATCH("Downmove", Price_Header,0))): INDIRECT(ADDRESS(ROW($O34),MATCH("Downmove", Price_Header,0)))))</f>
        <v>2.527857142857143</v>
      </c>
      <c r="R34" s="50">
        <f ca="1">IF(tbl_AAPL[[#This Row],[Avg_Upmove]]="", "", tbl_AAPL[[#This Row],[Avg_Upmove]]/tbl_AAPL[[#This Row],[Avg_Downmove]])</f>
        <v>0.46510313647923163</v>
      </c>
      <c r="S34" s="50">
        <f ca="1">IF(ROW($N34)-4&lt;BB_Periods, "", _xlfn.STDEV.S(INDIRECT(ADDRESS(ROW($F34)-RSI_Periods +1, MATCH("Adj Close", Price_Header,0))): INDIRECT(ADDRESS(ROW($F34),MATCH("Adj Close", Price_Header,0)))))</f>
        <v>7.8817389794803079</v>
      </c>
    </row>
    <row r="35" spans="1:19" x14ac:dyDescent="0.3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111.62</v>
      </c>
      <c r="G35">
        <v>182296300</v>
      </c>
      <c r="H35" s="127">
        <f>IF(tbl_AAPL[[#This Row],[Date]]=$A$5, $F35, EMA_Beta*$H34 + (1-EMA_Beta)*$F35)</f>
        <v>115.00068537188103</v>
      </c>
      <c r="I35" s="50">
        <f ca="1">IF(tbl_AAPL[[#This Row],[RS]]= "", "", 100-(100/(1+tbl_AAPL[[#This Row],[RS]])))</f>
        <v>26.955624355005185</v>
      </c>
      <c r="J35" s="127">
        <f ca="1">IF(ROW($N35)-4&lt;BB_Periods, "", AVERAGE(INDIRECT(ADDRESS(ROW($F35)-RSI_Periods +1, MATCH("Adj Close", Price_Header,0))): INDIRECT(ADDRESS(ROW($F35),MATCH("Adj Close", Price_Header,0)))))</f>
        <v>114.87142857142859</v>
      </c>
      <c r="K35" s="127">
        <f ca="1">IF(tbl_AAPL[[#This Row],[BB_Mean]]="", "", tbl_AAPL[[#This Row],[BB_Mean]]+(BB_Width*tbl_AAPL[[#This Row],[BB_Stdev]]))</f>
        <v>127.14748119969099</v>
      </c>
      <c r="L35" s="127">
        <f ca="1">IF(tbl_AAPL[[#This Row],[BB_Mean]]="", "", tbl_AAPL[[#This Row],[BB_Mean]]-(BB_Width*tbl_AAPL[[#This Row],[BB_Stdev]]))</f>
        <v>102.5953759431662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0.93285714285714405</v>
      </c>
      <c r="Q35" s="50">
        <f ca="1">IF(ROW($O35)-5&lt;RSI_Periods, "", AVERAGE(INDIRECT(ADDRESS(ROW($O35)-RSI_Periods +1, MATCH("Downmove", Price_Header,0))): INDIRECT(ADDRESS(ROW($O35),MATCH("Downmove", Price_Header,0)))))</f>
        <v>2.527857142857143</v>
      </c>
      <c r="R35" s="50">
        <f ca="1">IF(tbl_AAPL[[#This Row],[Avg_Upmove]]="", "", tbl_AAPL[[#This Row],[Avg_Upmove]]/tbl_AAPL[[#This Row],[Avg_Downmove]])</f>
        <v>0.36903079966092162</v>
      </c>
      <c r="S35" s="50">
        <f ca="1">IF(ROW($N35)-4&lt;BB_Periods, "", _xlfn.STDEV.S(INDIRECT(ADDRESS(ROW($F35)-RSI_Periods +1, MATCH("Adj Close", Price_Header,0))): INDIRECT(ADDRESS(ROW($F35),MATCH("Adj Close", Price_Header,0)))))</f>
        <v>6.1380263141311966</v>
      </c>
    </row>
    <row r="36" spans="1:19" x14ac:dyDescent="0.3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106.94</v>
      </c>
      <c r="G36">
        <v>149937500</v>
      </c>
      <c r="H36" s="127">
        <f>IF(tbl_AAPL[[#This Row],[Date]]=$A$5, $F36, EMA_Beta*$H35 + (1-EMA_Beta)*$F36)</f>
        <v>114.19461683469294</v>
      </c>
      <c r="I36" s="50">
        <f ca="1">IF(tbl_AAPL[[#This Row],[RS]]= "", "", 100-(100/(1+tbl_AAPL[[#This Row],[RS]])))</f>
        <v>25.938430983118195</v>
      </c>
      <c r="J36" s="127">
        <f ca="1">IF(ROW($N36)-4&lt;BB_Periods, "", AVERAGE(INDIRECT(ADDRESS(ROW($F36)-RSI_Periods +1, MATCH("Adj Close", Price_Header,0))): INDIRECT(ADDRESS(ROW($F36),MATCH("Adj Close", Price_Header,0)))))</f>
        <v>113.14071428571431</v>
      </c>
      <c r="K36" s="127">
        <f ca="1">IF(tbl_AAPL[[#This Row],[BB_Mean]]="", "", tbl_AAPL[[#This Row],[BB_Mean]]+(BB_Width*tbl_AAPL[[#This Row],[BB_Stdev]]))</f>
        <v>121.82507144906609</v>
      </c>
      <c r="L36" s="127">
        <f ca="1">IF(tbl_AAPL[[#This Row],[BB_Mean]]="", "", tbl_AAPL[[#This Row],[BB_Mean]]-(BB_Width*tbl_AAPL[[#This Row],[BB_Stdev]]))</f>
        <v>104.45635712236253</v>
      </c>
      <c r="M36" s="50">
        <f>IF(ROW(tbl_AAPL[[#This Row],[Adj Close]])=5, 0, $F36-$F35)</f>
        <v>-4.6800000000000068</v>
      </c>
      <c r="N36" s="50">
        <f>MAX(tbl_AAPL[[#This Row],[Move]],0)</f>
        <v>0</v>
      </c>
      <c r="O36" s="50">
        <f>MAX(-tbl_AAPL[[#This Row],[Move]],0)</f>
        <v>4.6800000000000068</v>
      </c>
      <c r="P36" s="50">
        <f ca="1">IF(ROW($N36)-5&lt;RSI_Periods, "", AVERAGE(INDIRECT(ADDRESS(ROW($N36)-RSI_Periods +1, MATCH("Upmove", Price_Header,0))): INDIRECT(ADDRESS(ROW($N36),MATCH("Upmove", Price_Header,0)))))</f>
        <v>0.93285714285714405</v>
      </c>
      <c r="Q36" s="50">
        <f ca="1">IF(ROW($O36)-5&lt;RSI_Periods, "", AVERAGE(INDIRECT(ADDRESS(ROW($O36)-RSI_Periods +1, MATCH("Downmove", Price_Header,0))): INDIRECT(ADDRESS(ROW($O36),MATCH("Downmove", Price_Header,0)))))</f>
        <v>2.6635714285714291</v>
      </c>
      <c r="R36" s="50">
        <f ca="1">IF(tbl_AAPL[[#This Row],[Avg_Upmove]]="", "", tbl_AAPL[[#This Row],[Avg_Upmove]]/tbl_AAPL[[#This Row],[Avg_Downmove]])</f>
        <v>0.35022794314829753</v>
      </c>
      <c r="S36" s="50">
        <f ca="1">IF(ROW($N36)-4&lt;BB_Periods, "", _xlfn.STDEV.S(INDIRECT(ADDRESS(ROW($F36)-RSI_Periods +1, MATCH("Adj Close", Price_Header,0))): INDIRECT(ADDRESS(ROW($F36),MATCH("Adj Close", Price_Header,0)))))</f>
        <v>4.3421785816758902</v>
      </c>
    </row>
    <row r="37" spans="1:19" x14ac:dyDescent="0.3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108.03</v>
      </c>
      <c r="G37">
        <v>167743300</v>
      </c>
      <c r="H37" s="127">
        <f>IF(tbl_AAPL[[#This Row],[Date]]=$A$5, $F37, EMA_Beta*$H36 + (1-EMA_Beta)*$F37)</f>
        <v>113.57815515122364</v>
      </c>
      <c r="I37" s="50">
        <f ca="1">IF(tbl_AAPL[[#This Row],[RS]]= "", "", 100-(100/(1+tbl_AAPL[[#This Row],[RS]])))</f>
        <v>34.562774792379102</v>
      </c>
      <c r="J37" s="127">
        <f ca="1">IF(ROW($N37)-4&lt;BB_Periods, "", AVERAGE(INDIRECT(ADDRESS(ROW($F37)-RSI_Periods +1, MATCH("Adj Close", Price_Header,0))): INDIRECT(ADDRESS(ROW($F37),MATCH("Adj Close", Price_Header,0)))))</f>
        <v>112.23785714285715</v>
      </c>
      <c r="K37" s="127">
        <f ca="1">IF(tbl_AAPL[[#This Row],[BB_Mean]]="", "", tbl_AAPL[[#This Row],[BB_Mean]]+(BB_Width*tbl_AAPL[[#This Row],[BB_Stdev]]))</f>
        <v>120.14356755640362</v>
      </c>
      <c r="L37" s="127">
        <f ca="1">IF(tbl_AAPL[[#This Row],[BB_Mean]]="", "", tbl_AAPL[[#This Row],[BB_Mean]]-(BB_Width*tbl_AAPL[[#This Row],[BB_Stdev]]))</f>
        <v>104.33214672931068</v>
      </c>
      <c r="M37" s="50">
        <f>IF(ROW(tbl_AAPL[[#This Row],[Adj Close]])=5, 0, $F37-$F36)</f>
        <v>1.0900000000000034</v>
      </c>
      <c r="N37" s="50">
        <f>MAX(tbl_AAPL[[#This Row],[Move]],0)</f>
        <v>1.0900000000000034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1.0107142857142872</v>
      </c>
      <c r="Q37" s="50">
        <f ca="1">IF(ROW($O37)-5&lt;RSI_Periods, "", AVERAGE(INDIRECT(ADDRESS(ROW($O37)-RSI_Periods +1, MATCH("Downmove", Price_Header,0))): INDIRECT(ADDRESS(ROW($O37),MATCH("Downmove", Price_Header,0)))))</f>
        <v>1.91357142857143</v>
      </c>
      <c r="R37" s="50">
        <f ca="1">IF(tbl_AAPL[[#This Row],[Avg_Upmove]]="", "", tbl_AAPL[[#This Row],[Avg_Upmove]]/tbl_AAPL[[#This Row],[Avg_Downmove]])</f>
        <v>0.52818215752146358</v>
      </c>
      <c r="S37" s="50">
        <f ca="1">IF(ROW($N37)-4&lt;BB_Periods, "", _xlfn.STDEV.S(INDIRECT(ADDRESS(ROW($F37)-RSI_Periods +1, MATCH("Adj Close", Price_Header,0))): INDIRECT(ADDRESS(ROW($F37),MATCH("Adj Close", Price_Header,0)))))</f>
        <v>3.9528552067732372</v>
      </c>
    </row>
    <row r="38" spans="1:19" x14ac:dyDescent="0.3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112.09</v>
      </c>
      <c r="G38">
        <v>149981400</v>
      </c>
      <c r="H38" s="127">
        <f>IF(tbl_AAPL[[#This Row],[Date]]=$A$5, $F38, EMA_Beta*$H37 + (1-EMA_Beta)*$F38)</f>
        <v>113.42933963610128</v>
      </c>
      <c r="I38" s="50">
        <f ca="1">IF(tbl_AAPL[[#This Row],[RS]]= "", "", 100-(100/(1+tbl_AAPL[[#This Row],[RS]])))</f>
        <v>40.360641139804109</v>
      </c>
      <c r="J38" s="127">
        <f ca="1">IF(ROW($N38)-4&lt;BB_Periods, "", AVERAGE(INDIRECT(ADDRESS(ROW($F38)-RSI_Periods +1, MATCH("Adj Close", Price_Header,0))): INDIRECT(ADDRESS(ROW($F38),MATCH("Adj Close", Price_Header,0)))))</f>
        <v>111.61928571428572</v>
      </c>
      <c r="K38" s="127">
        <f ca="1">IF(tbl_AAPL[[#This Row],[BB_Mean]]="", "", tbl_AAPL[[#This Row],[BB_Mean]]+(BB_Width*tbl_AAPL[[#This Row],[BB_Stdev]]))</f>
        <v>117.82930969187211</v>
      </c>
      <c r="L38" s="127">
        <f ca="1">IF(tbl_AAPL[[#This Row],[BB_Mean]]="", "", tbl_AAPL[[#This Row],[BB_Mean]]-(BB_Width*tbl_AAPL[[#This Row],[BB_Stdev]]))</f>
        <v>105.40926173669934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1.2950000000000017</v>
      </c>
      <c r="Q38" s="50">
        <f ca="1">IF(ROW($O38)-5&lt;RSI_Periods, "", AVERAGE(INDIRECT(ADDRESS(ROW($O38)-RSI_Periods +1, MATCH("Downmove", Price_Header,0))): INDIRECT(ADDRESS(ROW($O38),MATCH("Downmove", Price_Header,0)))))</f>
        <v>1.91357142857143</v>
      </c>
      <c r="R38" s="50">
        <f ca="1">IF(tbl_AAPL[[#This Row],[Avg_Upmove]]="", "", tbl_AAPL[[#This Row],[Avg_Upmove]]/tbl_AAPL[[#This Row],[Avg_Downmove]])</f>
        <v>0.67674505412467378</v>
      </c>
      <c r="S38" s="50">
        <f ca="1">IF(ROW($N38)-4&lt;BB_Periods, "", _xlfn.STDEV.S(INDIRECT(ADDRESS(ROW($F38)-RSI_Periods +1, MATCH("Adj Close", Price_Header,0))): INDIRECT(ADDRESS(ROW($F38),MATCH("Adj Close", Price_Header,0)))))</f>
        <v>3.1050119887931928</v>
      </c>
    </row>
    <row r="39" spans="1:19" x14ac:dyDescent="0.3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114.76</v>
      </c>
      <c r="G39">
        <v>137672400</v>
      </c>
      <c r="H39" s="127">
        <f>IF(tbl_AAPL[[#This Row],[Date]]=$A$5, $F39, EMA_Beta*$H38 + (1-EMA_Beta)*$F39)</f>
        <v>113.56240567249115</v>
      </c>
      <c r="I39" s="50">
        <f ca="1">IF(tbl_AAPL[[#This Row],[RS]]= "", "", 100-(100/(1+tbl_AAPL[[#This Row],[RS]])))</f>
        <v>52.698251836838111</v>
      </c>
      <c r="J39" s="127">
        <f ca="1">IF(ROW($N39)-4&lt;BB_Periods, "", AVERAGE(INDIRECT(ADDRESS(ROW($F39)-RSI_Periods +1, MATCH("Adj Close", Price_Header,0))): INDIRECT(ADDRESS(ROW($F39),MATCH("Adj Close", Price_Header,0)))))</f>
        <v>111.77142857142857</v>
      </c>
      <c r="K39" s="127">
        <f ca="1">IF(tbl_AAPL[[#This Row],[BB_Mean]]="", "", tbl_AAPL[[#This Row],[BB_Mean]]+(BB_Width*tbl_AAPL[[#This Row],[BB_Stdev]]))</f>
        <v>118.18901909528316</v>
      </c>
      <c r="L39" s="127">
        <f ca="1">IF(tbl_AAPL[[#This Row],[BB_Mean]]="", "", tbl_AAPL[[#This Row],[BB_Mean]]-(BB_Width*tbl_AAPL[[#This Row],[BB_Stdev]]))</f>
        <v>105.35383804757399</v>
      </c>
      <c r="M39" s="50">
        <f>IF(ROW(tbl_AAPL[[#This Row],[Adj Close]])=5, 0, $F39-$F38)</f>
        <v>2.6700000000000017</v>
      </c>
      <c r="N39" s="50">
        <f>MAX(tbl_AAPL[[#This Row],[Move]],0)</f>
        <v>2.6700000000000017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1.4857142857142875</v>
      </c>
      <c r="Q39" s="50">
        <f ca="1">IF(ROW($O39)-5&lt;RSI_Periods, "", AVERAGE(INDIRECT(ADDRESS(ROW($O39)-RSI_Periods +1, MATCH("Downmove", Price_Header,0))): INDIRECT(ADDRESS(ROW($O39),MATCH("Downmove", Price_Header,0)))))</f>
        <v>1.3335714285714297</v>
      </c>
      <c r="R39" s="50">
        <f ca="1">IF(tbl_AAPL[[#This Row],[Avg_Upmove]]="", "", tbl_AAPL[[#This Row],[Avg_Upmove]]/tbl_AAPL[[#This Row],[Avg_Downmove]])</f>
        <v>1.114086770219604</v>
      </c>
      <c r="S39" s="50">
        <f ca="1">IF(ROW($N39)-4&lt;BB_Periods, "", _xlfn.STDEV.S(INDIRECT(ADDRESS(ROW($F39)-RSI_Periods +1, MATCH("Adj Close", Price_Header,0))): INDIRECT(ADDRESS(ROW($F39),MATCH("Adj Close", Price_Header,0)))))</f>
        <v>3.2087952619272926</v>
      </c>
    </row>
    <row r="40" spans="1:19" x14ac:dyDescent="0.3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113.89</v>
      </c>
      <c r="G40">
        <v>99382200</v>
      </c>
      <c r="H40" s="127">
        <f>IF(tbl_AAPL[[#This Row],[Date]]=$A$5, $F40, EMA_Beta*$H39 + (1-EMA_Beta)*$F40)</f>
        <v>113.59516510524203</v>
      </c>
      <c r="I40" s="50">
        <f ca="1">IF(tbl_AAPL[[#This Row],[RS]]= "", "", 100-(100/(1+tbl_AAPL[[#This Row],[RS]])))</f>
        <v>45.495118549511851</v>
      </c>
      <c r="J40" s="127">
        <f ca="1">IF(ROW($N40)-4&lt;BB_Periods, "", AVERAGE(INDIRECT(ADDRESS(ROW($F40)-RSI_Periods +1, MATCH("Adj Close", Price_Header,0))): INDIRECT(ADDRESS(ROW($F40),MATCH("Adj Close", Price_Header,0)))))</f>
        <v>111.54071428571429</v>
      </c>
      <c r="K40" s="127">
        <f ca="1">IF(tbl_AAPL[[#This Row],[BB_Mean]]="", "", tbl_AAPL[[#This Row],[BB_Mean]]+(BB_Width*tbl_AAPL[[#This Row],[BB_Stdev]]))</f>
        <v>117.33165396918383</v>
      </c>
      <c r="L40" s="127">
        <f ca="1">IF(tbl_AAPL[[#This Row],[BB_Mean]]="", "", tbl_AAPL[[#This Row],[BB_Mean]]-(BB_Width*tbl_AAPL[[#This Row],[BB_Stdev]]))</f>
        <v>105.74977460224474</v>
      </c>
      <c r="M40" s="50">
        <f>IF(ROW(tbl_AAPL[[#This Row],[Adj Close]])=5, 0, $F40-$F39)</f>
        <v>-0.87000000000000455</v>
      </c>
      <c r="N40" s="50">
        <f>MAX(tbl_AAPL[[#This Row],[Move]],0)</f>
        <v>0</v>
      </c>
      <c r="O40" s="50">
        <f>MAX(-tbl_AAPL[[#This Row],[Move]],0)</f>
        <v>0.87000000000000455</v>
      </c>
      <c r="P40" s="50">
        <f ca="1">IF(ROW($N40)-5&lt;RSI_Periods, "", AVERAGE(INDIRECT(ADDRESS(ROW($N40)-RSI_Periods +1, MATCH("Upmove", Price_Header,0))): INDIRECT(ADDRESS(ROW($N40),MATCH("Upmove", Price_Header,0)))))</f>
        <v>1.1650000000000011</v>
      </c>
      <c r="Q40" s="50">
        <f ca="1">IF(ROW($O40)-5&lt;RSI_Periods, "", AVERAGE(INDIRECT(ADDRESS(ROW($O40)-RSI_Periods +1, MATCH("Downmove", Price_Header,0))): INDIRECT(ADDRESS(ROW($O40),MATCH("Downmove", Price_Header,0)))))</f>
        <v>1.3957142857142872</v>
      </c>
      <c r="R40" s="50">
        <f ca="1">IF(tbl_AAPL[[#This Row],[Avg_Upmove]]="", "", tbl_AAPL[[#This Row],[Avg_Upmove]]/tbl_AAPL[[#This Row],[Avg_Downmove]])</f>
        <v>0.83469805527123841</v>
      </c>
      <c r="S40" s="50">
        <f ca="1">IF(ROW($N40)-4&lt;BB_Periods, "", _xlfn.STDEV.S(INDIRECT(ADDRESS(ROW($F40)-RSI_Periods +1, MATCH("Adj Close", Price_Header,0))): INDIRECT(ADDRESS(ROW($F40),MATCH("Adj Close", Price_Header,0)))))</f>
        <v>2.8954698417347764</v>
      </c>
    </row>
    <row r="41" spans="1:19" x14ac:dyDescent="0.3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115.61</v>
      </c>
      <c r="G41">
        <v>142675200</v>
      </c>
      <c r="H41" s="127">
        <f>IF(tbl_AAPL[[#This Row],[Date]]=$A$5, $F41, EMA_Beta*$H40 + (1-EMA_Beta)*$F41)</f>
        <v>113.79664859471782</v>
      </c>
      <c r="I41" s="50">
        <f ca="1">IF(tbl_AAPL[[#This Row],[RS]]= "", "", 100-(100/(1+tbl_AAPL[[#This Row],[RS]])))</f>
        <v>53.438055720213384</v>
      </c>
      <c r="J41" s="127">
        <f ca="1">IF(ROW($N41)-4&lt;BB_Periods, "", AVERAGE(INDIRECT(ADDRESS(ROW($F41)-RSI_Periods +1, MATCH("Adj Close", Price_Header,0))): INDIRECT(ADDRESS(ROW($F41),MATCH("Adj Close", Price_Header,0)))))</f>
        <v>111.70642857142856</v>
      </c>
      <c r="K41" s="127">
        <f ca="1">IF(tbl_AAPL[[#This Row],[BB_Mean]]="", "", tbl_AAPL[[#This Row],[BB_Mean]]+(BB_Width*tbl_AAPL[[#This Row],[BB_Stdev]]))</f>
        <v>117.83588635717541</v>
      </c>
      <c r="L41" s="127">
        <f ca="1">IF(tbl_AAPL[[#This Row],[BB_Mean]]="", "", tbl_AAPL[[#This Row],[BB_Mean]]-(BB_Width*tbl_AAPL[[#This Row],[BB_Stdev]]))</f>
        <v>105.57697078568171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1.2878571428571439</v>
      </c>
      <c r="Q41" s="50">
        <f ca="1">IF(ROW($O41)-5&lt;RSI_Periods, "", AVERAGE(INDIRECT(ADDRESS(ROW($O41)-RSI_Periods +1, MATCH("Downmove", Price_Header,0))): INDIRECT(ADDRESS(ROW($O41),MATCH("Downmove", Price_Header,0)))))</f>
        <v>1.1221428571428587</v>
      </c>
      <c r="R41" s="50">
        <f ca="1">IF(tbl_AAPL[[#This Row],[Avg_Upmove]]="", "", tbl_AAPL[[#This Row],[Avg_Upmove]]/tbl_AAPL[[#This Row],[Avg_Downmove]])</f>
        <v>1.1476766390833857</v>
      </c>
      <c r="S41" s="50">
        <f ca="1">IF(ROW($N41)-4&lt;BB_Periods, "", _xlfn.STDEV.S(INDIRECT(ADDRESS(ROW($F41)-RSI_Periods +1, MATCH("Adj Close", Price_Header,0))): INDIRECT(ADDRESS(ROW($F41),MATCH("Adj Close", Price_Header,0)))))</f>
        <v>3.0647288928734291</v>
      </c>
    </row>
    <row r="42" spans="1:19" x14ac:dyDescent="0.3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116.59</v>
      </c>
      <c r="G42">
        <v>116120400</v>
      </c>
      <c r="H42" s="127">
        <f>IF(tbl_AAPL[[#This Row],[Date]]=$A$5, $F42, EMA_Beta*$H41 + (1-EMA_Beta)*$F42)</f>
        <v>114.07598373524604</v>
      </c>
      <c r="I42" s="50">
        <f ca="1">IF(tbl_AAPL[[#This Row],[RS]]= "", "", 100-(100/(1+tbl_AAPL[[#This Row],[RS]])))</f>
        <v>57.190132370637777</v>
      </c>
      <c r="J42" s="127">
        <f ca="1">IF(ROW($N42)-4&lt;BB_Periods, "", AVERAGE(INDIRECT(ADDRESS(ROW($F42)-RSI_Periods +1, MATCH("Adj Close", Price_Header,0))): INDIRECT(ADDRESS(ROW($F42),MATCH("Adj Close", Price_Header,0)))))</f>
        <v>112.04785714285713</v>
      </c>
      <c r="K42" s="127">
        <f ca="1">IF(tbl_AAPL[[#This Row],[BB_Mean]]="", "", tbl_AAPL[[#This Row],[BB_Mean]]+(BB_Width*tbl_AAPL[[#This Row],[BB_Stdev]]))</f>
        <v>118.71141673016677</v>
      </c>
      <c r="L42" s="127">
        <f ca="1">IF(tbl_AAPL[[#This Row],[BB_Mean]]="", "", tbl_AAPL[[#This Row],[BB_Mean]]-(BB_Width*tbl_AAPL[[#This Row],[BB_Stdev]]))</f>
        <v>105.38429755554748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1.3578571428571442</v>
      </c>
      <c r="Q42" s="50">
        <f ca="1">IF(ROW($O42)-5&lt;RSI_Periods, "", AVERAGE(INDIRECT(ADDRESS(ROW($O42)-RSI_Periods +1, MATCH("Downmove", Price_Header,0))): INDIRECT(ADDRESS(ROW($O42),MATCH("Downmove", Price_Header,0)))))</f>
        <v>1.0164285714285728</v>
      </c>
      <c r="R42" s="50">
        <f ca="1">IF(tbl_AAPL[[#This Row],[Avg_Upmove]]="", "", tbl_AAPL[[#This Row],[Avg_Upmove]]/tbl_AAPL[[#This Row],[Avg_Downmove]])</f>
        <v>1.3359100491918476</v>
      </c>
      <c r="S42" s="50">
        <f ca="1">IF(ROW($N42)-4&lt;BB_Periods, "", _xlfn.STDEV.S(INDIRECT(ADDRESS(ROW($F42)-RSI_Periods +1, MATCH("Adj Close", Price_Header,0))): INDIRECT(ADDRESS(ROW($F42),MATCH("Adj Close", Price_Header,0)))))</f>
        <v>3.3317797936548268</v>
      </c>
    </row>
    <row r="43" spans="1:19" x14ac:dyDescent="0.3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112.83</v>
      </c>
      <c r="G43">
        <v>144712000</v>
      </c>
      <c r="H43" s="127">
        <f>IF(tbl_AAPL[[#This Row],[Date]]=$A$5, $F43, EMA_Beta*$H42 + (1-EMA_Beta)*$F43)</f>
        <v>113.95138536172144</v>
      </c>
      <c r="I43" s="50">
        <f ca="1">IF(tbl_AAPL[[#This Row],[RS]]= "", "", 100-(100/(1+tbl_AAPL[[#This Row],[RS]])))</f>
        <v>46.537890044576528</v>
      </c>
      <c r="J43" s="127">
        <f ca="1">IF(ROW($N43)-4&lt;BB_Periods, "", AVERAGE(INDIRECT(ADDRESS(ROW($F43)-RSI_Periods +1, MATCH("Adj Close", Price_Header,0))): INDIRECT(ADDRESS(ROW($F43),MATCH("Adj Close", Price_Header,0)))))</f>
        <v>111.88142857142857</v>
      </c>
      <c r="K43" s="127">
        <f ca="1">IF(tbl_AAPL[[#This Row],[BB_Mean]]="", "", tbl_AAPL[[#This Row],[BB_Mean]]+(BB_Width*tbl_AAPL[[#This Row],[BB_Stdev]]))</f>
        <v>118.32284197171633</v>
      </c>
      <c r="L43" s="127">
        <f ca="1">IF(tbl_AAPL[[#This Row],[BB_Mean]]="", "", tbl_AAPL[[#This Row],[BB_Mean]]-(BB_Width*tbl_AAPL[[#This Row],[BB_Stdev]]))</f>
        <v>105.44001517114081</v>
      </c>
      <c r="M43" s="50">
        <f>IF(ROW(tbl_AAPL[[#This Row],[Adj Close]])=5, 0, $F43-$F42)</f>
        <v>-3.7600000000000051</v>
      </c>
      <c r="N43" s="50">
        <f>MAX(tbl_AAPL[[#This Row],[Move]],0)</f>
        <v>0</v>
      </c>
      <c r="O43" s="50">
        <f>MAX(-tbl_AAPL[[#This Row],[Move]],0)</f>
        <v>3.7600000000000051</v>
      </c>
      <c r="P43" s="50">
        <f ca="1">IF(ROW($N43)-5&lt;RSI_Periods, "", AVERAGE(INDIRECT(ADDRESS(ROW($N43)-RSI_Periods +1, MATCH("Upmove", Price_Header,0))): INDIRECT(ADDRESS(ROW($N43),MATCH("Upmove", Price_Header,0)))))</f>
        <v>1.1185714285714303</v>
      </c>
      <c r="Q43" s="50">
        <f ca="1">IF(ROW($O43)-5&lt;RSI_Periods, "", AVERAGE(INDIRECT(ADDRESS(ROW($O43)-RSI_Periods +1, MATCH("Downmove", Price_Header,0))): INDIRECT(ADDRESS(ROW($O43),MATCH("Downmove", Price_Header,0)))))</f>
        <v>1.2850000000000017</v>
      </c>
      <c r="R43" s="50">
        <f ca="1">IF(tbl_AAPL[[#This Row],[Avg_Upmove]]="", "", tbl_AAPL[[#This Row],[Avg_Upmove]]/tbl_AAPL[[#This Row],[Avg_Downmove]])</f>
        <v>0.87048360200111197</v>
      </c>
      <c r="S43" s="50">
        <f ca="1">IF(ROW($N43)-4&lt;BB_Periods, "", _xlfn.STDEV.S(INDIRECT(ADDRESS(ROW($F43)-RSI_Periods +1, MATCH("Adj Close", Price_Header,0))): INDIRECT(ADDRESS(ROW($F43),MATCH("Adj Close", Price_Header,0)))))</f>
        <v>3.2207067001438765</v>
      </c>
    </row>
    <row r="44" spans="1:19" x14ac:dyDescent="0.3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116.3</v>
      </c>
      <c r="G44">
        <v>105720800</v>
      </c>
      <c r="H44" s="127">
        <f>IF(tbl_AAPL[[#This Row],[Date]]=$A$5, $F44, EMA_Beta*$H43 + (1-EMA_Beta)*$F44)</f>
        <v>114.18624682554929</v>
      </c>
      <c r="I44" s="50">
        <f ca="1">IF(tbl_AAPL[[#This Row],[RS]]= "", "", 100-(100/(1+tbl_AAPL[[#This Row],[RS]])))</f>
        <v>51.299404439631829</v>
      </c>
      <c r="J44" s="127">
        <f ca="1">IF(ROW($N44)-4&lt;BB_Periods, "", AVERAGE(INDIRECT(ADDRESS(ROW($F44)-RSI_Periods +1, MATCH("Adj Close", Price_Header,0))): INDIRECT(ADDRESS(ROW($F44),MATCH("Adj Close", Price_Header,0)))))</f>
        <v>111.94999999999997</v>
      </c>
      <c r="K44" s="127">
        <f ca="1">IF(tbl_AAPL[[#This Row],[BB_Mean]]="", "", tbl_AAPL[[#This Row],[BB_Mean]]+(BB_Width*tbl_AAPL[[#This Row],[BB_Stdev]]))</f>
        <v>118.56803131312765</v>
      </c>
      <c r="L44" s="127">
        <f ca="1">IF(tbl_AAPL[[#This Row],[BB_Mean]]="", "", tbl_AAPL[[#This Row],[BB_Mean]]-(BB_Width*tbl_AAPL[[#This Row],[BB_Stdev]]))</f>
        <v>105.3319686868723</v>
      </c>
      <c r="M44" s="50">
        <f>IF(ROW(tbl_AAPL[[#This Row],[Adj Close]])=5, 0, $F44-$F43)</f>
        <v>3.4699999999999989</v>
      </c>
      <c r="N44" s="50">
        <f>MAX(tbl_AAPL[[#This Row],[Move]],0)</f>
        <v>3.4699999999999989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1.3535714285714298</v>
      </c>
      <c r="Q44" s="50">
        <f ca="1">IF(ROW($O44)-5&lt;RSI_Periods, "", AVERAGE(INDIRECT(ADDRESS(ROW($O44)-RSI_Periods +1, MATCH("Downmove", Price_Header,0))): INDIRECT(ADDRESS(ROW($O44),MATCH("Downmove", Price_Header,0)))))</f>
        <v>1.2850000000000017</v>
      </c>
      <c r="R44" s="50">
        <f ca="1">IF(tbl_AAPL[[#This Row],[Avg_Upmove]]="", "", tbl_AAPL[[#This Row],[Avg_Upmove]]/tbl_AAPL[[#This Row],[Avg_Downmove]])</f>
        <v>1.0533629794330179</v>
      </c>
      <c r="S44" s="50">
        <f ca="1">IF(ROW($N44)-4&lt;BB_Periods, "", _xlfn.STDEV.S(INDIRECT(ADDRESS(ROW($F44)-RSI_Periods +1, MATCH("Adj Close", Price_Header,0))): INDIRECT(ADDRESS(ROW($F44),MATCH("Adj Close", Price_Header,0)))))</f>
        <v>3.3090156565638402</v>
      </c>
    </row>
    <row r="45" spans="1:19" x14ac:dyDescent="0.35">
      <c r="A45" s="8">
        <v>44110</v>
      </c>
      <c r="B45" s="10">
        <v>115.7</v>
      </c>
      <c r="C45" s="10">
        <v>116.12</v>
      </c>
      <c r="D45" s="10">
        <v>112.25</v>
      </c>
      <c r="E45" s="10">
        <v>113.16</v>
      </c>
      <c r="F45" s="10">
        <v>112.97</v>
      </c>
      <c r="G45">
        <v>161498200</v>
      </c>
      <c r="H45" s="127">
        <f>IF(tbl_AAPL[[#This Row],[Date]]=$A$5, $F45, EMA_Beta*$H44 + (1-EMA_Beta)*$F45)</f>
        <v>114.06462214299437</v>
      </c>
      <c r="I45" s="50">
        <f ca="1">IF(tbl_AAPL[[#This Row],[RS]]= "", "", 100-(100/(1+tbl_AAPL[[#This Row],[RS]])))</f>
        <v>51.396799566042858</v>
      </c>
      <c r="J45" s="127">
        <f ca="1">IF(ROW($N45)-4&lt;BB_Periods, "", AVERAGE(INDIRECT(ADDRESS(ROW($F45)-RSI_Periods +1, MATCH("Adj Close", Price_Header,0))): INDIRECT(ADDRESS(ROW($F45),MATCH("Adj Close", Price_Header,0)))))</f>
        <v>112.0235714285714</v>
      </c>
      <c r="K45" s="127">
        <f ca="1">IF(tbl_AAPL[[#This Row],[BB_Mean]]="", "", tbl_AAPL[[#This Row],[BB_Mean]]+(BB_Width*tbl_AAPL[[#This Row],[BB_Stdev]]))</f>
        <v>118.66398664794694</v>
      </c>
      <c r="L45" s="127">
        <f ca="1">IF(tbl_AAPL[[#This Row],[BB_Mean]]="", "", tbl_AAPL[[#This Row],[BB_Mean]]-(BB_Width*tbl_AAPL[[#This Row],[BB_Stdev]]))</f>
        <v>105.38315620919586</v>
      </c>
      <c r="M45" s="50">
        <f>IF(ROW(tbl_AAPL[[#This Row],[Adj Close]])=5, 0, $F45-$F44)</f>
        <v>-3.3299999999999983</v>
      </c>
      <c r="N45" s="50">
        <f>MAX(tbl_AAPL[[#This Row],[Move]],0)</f>
        <v>0</v>
      </c>
      <c r="O45" s="50">
        <f>MAX(-tbl_AAPL[[#This Row],[Move]],0)</f>
        <v>3.3299999999999983</v>
      </c>
      <c r="P45" s="50">
        <f ca="1">IF(ROW($N45)-5&lt;RSI_Periods, "", AVERAGE(INDIRECT(ADDRESS(ROW($N45)-RSI_Periods +1, MATCH("Upmove", Price_Header,0))): INDIRECT(ADDRESS(ROW($N45),MATCH("Upmove", Price_Header,0)))))</f>
        <v>1.3535714285714298</v>
      </c>
      <c r="Q45" s="50">
        <f ca="1">IF(ROW($O45)-5&lt;RSI_Periods, "", AVERAGE(INDIRECT(ADDRESS(ROW($O45)-RSI_Periods +1, MATCH("Downmove", Price_Header,0))): INDIRECT(ADDRESS(ROW($O45),MATCH("Downmove", Price_Header,0)))))</f>
        <v>1.2800000000000011</v>
      </c>
      <c r="R45" s="50">
        <f ca="1">IF(tbl_AAPL[[#This Row],[Avg_Upmove]]="", "", tbl_AAPL[[#This Row],[Avg_Upmove]]/tbl_AAPL[[#This Row],[Avg_Downmove]])</f>
        <v>1.0574776785714286</v>
      </c>
      <c r="S45" s="50">
        <f ca="1">IF(ROW($N45)-4&lt;BB_Periods, "", _xlfn.STDEV.S(INDIRECT(ADDRESS(ROW($F45)-RSI_Periods +1, MATCH("Adj Close", Price_Header,0))): INDIRECT(ADDRESS(ROW($F45),MATCH("Adj Close", Price_Header,0)))))</f>
        <v>3.32020760968777</v>
      </c>
    </row>
    <row r="46" spans="1:19" x14ac:dyDescent="0.35">
      <c r="A46" s="8">
        <v>44111</v>
      </c>
      <c r="B46" s="10">
        <v>114.62</v>
      </c>
      <c r="C46" s="10">
        <v>115.55</v>
      </c>
      <c r="D46" s="10">
        <v>114.13</v>
      </c>
      <c r="E46" s="10">
        <v>115.08</v>
      </c>
      <c r="F46" s="10">
        <v>114.88</v>
      </c>
      <c r="G46">
        <v>96849000</v>
      </c>
      <c r="H46" s="127">
        <f>IF(tbl_AAPL[[#This Row],[Date]]=$A$5, $F46, EMA_Beta*$H45 + (1-EMA_Beta)*$F46)</f>
        <v>114.14615992869493</v>
      </c>
      <c r="I46" s="50">
        <f ca="1">IF(tbl_AAPL[[#This Row],[RS]]= "", "", 100-(100/(1+tbl_AAPL[[#This Row],[RS]])))</f>
        <v>56.39361989726951</v>
      </c>
      <c r="J46" s="127">
        <f ca="1">IF(ROW($N46)-4&lt;BB_Periods, "", AVERAGE(INDIRECT(ADDRESS(ROW($F46)-RSI_Periods +1, MATCH("Adj Close", Price_Header,0))): INDIRECT(ADDRESS(ROW($F46),MATCH("Adj Close", Price_Header,0)))))</f>
        <v>112.36142857142856</v>
      </c>
      <c r="K46" s="127">
        <f ca="1">IF(tbl_AAPL[[#This Row],[BB_Mean]]="", "", tbl_AAPL[[#This Row],[BB_Mean]]+(BB_Width*tbl_AAPL[[#This Row],[BB_Stdev]]))</f>
        <v>119.0721541180917</v>
      </c>
      <c r="L46" s="127">
        <f ca="1">IF(tbl_AAPL[[#This Row],[BB_Mean]]="", "", tbl_AAPL[[#This Row],[BB_Mean]]-(BB_Width*tbl_AAPL[[#This Row],[BB_Stdev]]))</f>
        <v>105.65070302476542</v>
      </c>
      <c r="M46" s="50">
        <f>IF(ROW(tbl_AAPL[[#This Row],[Adj Close]])=5, 0, $F46-$F45)</f>
        <v>1.9099999999999966</v>
      </c>
      <c r="N46" s="50">
        <f>MAX(tbl_AAPL[[#This Row],[Move]],0)</f>
        <v>1.9099999999999966</v>
      </c>
      <c r="O46" s="50">
        <f>MAX(-tbl_AAPL[[#This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1.4900000000000009</v>
      </c>
      <c r="Q46" s="50">
        <f ca="1">IF(ROW($O46)-5&lt;RSI_Periods, "", AVERAGE(INDIRECT(ADDRESS(ROW($O46)-RSI_Periods +1, MATCH("Downmove", Price_Header,0))): INDIRECT(ADDRESS(ROW($O46),MATCH("Downmove", Price_Header,0)))))</f>
        <v>1.1521428571428589</v>
      </c>
      <c r="R46" s="50">
        <f ca="1">IF(tbl_AAPL[[#This Row],[Avg_Upmove]]="", "", tbl_AAPL[[#This Row],[Avg_Upmove]]/tbl_AAPL[[#This Row],[Avg_Downmove]])</f>
        <v>1.2932424054556715</v>
      </c>
      <c r="S46" s="50">
        <f ca="1">IF(ROW($N46)-4&lt;BB_Periods, "", _xlfn.STDEV.S(INDIRECT(ADDRESS(ROW($F46)-RSI_Periods +1, MATCH("Adj Close", Price_Header,0))): INDIRECT(ADDRESS(ROW($F46),MATCH("Adj Close", Price_Header,0)))))</f>
        <v>3.3553627733315734</v>
      </c>
    </row>
    <row r="47" spans="1:19" x14ac:dyDescent="0.35">
      <c r="A47" s="8">
        <v>44112</v>
      </c>
      <c r="B47" s="10">
        <v>116.25</v>
      </c>
      <c r="C47" s="10">
        <v>116.4</v>
      </c>
      <c r="D47" s="10">
        <v>114.59</v>
      </c>
      <c r="E47" s="10">
        <v>114.97</v>
      </c>
      <c r="F47" s="10">
        <v>114.77</v>
      </c>
      <c r="G47">
        <v>83477200</v>
      </c>
      <c r="H47" s="127">
        <f>IF(tbl_AAPL[[#This Row],[Date]]=$A$5, $F47, EMA_Beta*$H46 + (1-EMA_Beta)*$F47)</f>
        <v>114.20854393582545</v>
      </c>
      <c r="I47" s="50">
        <f ca="1">IF(tbl_AAPL[[#This Row],[RS]]= "", "", 100-(100/(1+tbl_AAPL[[#This Row],[RS]])))</f>
        <v>62.064861648318939</v>
      </c>
      <c r="J47" s="127">
        <f ca="1">IF(ROW($N47)-4&lt;BB_Periods, "", AVERAGE(INDIRECT(ADDRESS(ROW($F47)-RSI_Periods +1, MATCH("Adj Close", Price_Header,0))): INDIRECT(ADDRESS(ROW($F47),MATCH("Adj Close", Price_Header,0)))))</f>
        <v>112.94071428571429</v>
      </c>
      <c r="K47" s="127">
        <f ca="1">IF(tbl_AAPL[[#This Row],[BB_Mean]]="", "", tbl_AAPL[[#This Row],[BB_Mean]]+(BB_Width*tbl_AAPL[[#This Row],[BB_Stdev]]))</f>
        <v>118.88809620117522</v>
      </c>
      <c r="L47" s="127">
        <f ca="1">IF(tbl_AAPL[[#This Row],[BB_Mean]]="", "", tbl_AAPL[[#This Row],[BB_Mean]]-(BB_Width*tbl_AAPL[[#This Row],[BB_Stdev]]))</f>
        <v>106.99333237025337</v>
      </c>
      <c r="M47" s="50">
        <f>IF(ROW(tbl_AAPL[[#This Row],[Adj Close]])=5, 0, $F47-$F46)</f>
        <v>-0.10999999999999943</v>
      </c>
      <c r="N47" s="50">
        <f>MAX(tbl_AAPL[[#This Row],[Move]],0)</f>
        <v>0</v>
      </c>
      <c r="O47" s="50">
        <f>MAX(-tbl_AAPL[[#This Row],[Move]],0)</f>
        <v>0.10999999999999943</v>
      </c>
      <c r="P47" s="50">
        <f ca="1">IF(ROW($N47)-5&lt;RSI_Periods, "", AVERAGE(INDIRECT(ADDRESS(ROW($N47)-RSI_Periods +1, MATCH("Upmove", Price_Header,0))): INDIRECT(ADDRESS(ROW($N47),MATCH("Upmove", Price_Header,0)))))</f>
        <v>1.4900000000000009</v>
      </c>
      <c r="Q47" s="50">
        <f ca="1">IF(ROW($O47)-5&lt;RSI_Periods, "", AVERAGE(INDIRECT(ADDRESS(ROW($O47)-RSI_Periods +1, MATCH("Downmove", Price_Header,0))): INDIRECT(ADDRESS(ROW($O47),MATCH("Downmove", Price_Header,0)))))</f>
        <v>0.9107142857142867</v>
      </c>
      <c r="R47" s="50">
        <f ca="1">IF(tbl_AAPL[[#This Row],[Avg_Upmove]]="", "", tbl_AAPL[[#This Row],[Avg_Upmove]]/tbl_AAPL[[#This Row],[Avg_Downmove]])</f>
        <v>1.6360784313725483</v>
      </c>
      <c r="S47" s="50">
        <f ca="1">IF(ROW($N47)-4&lt;BB_Periods, "", _xlfn.STDEV.S(INDIRECT(ADDRESS(ROW($F47)-RSI_Periods +1, MATCH("Adj Close", Price_Header,0))): INDIRECT(ADDRESS(ROW($F47),MATCH("Adj Close", Price_Header,0)))))</f>
        <v>2.9736909577304615</v>
      </c>
    </row>
    <row r="48" spans="1:19" x14ac:dyDescent="0.35">
      <c r="A48" s="8">
        <v>44113</v>
      </c>
      <c r="B48" s="10">
        <v>115.28</v>
      </c>
      <c r="C48" s="10">
        <v>117</v>
      </c>
      <c r="D48" s="10">
        <v>114.92</v>
      </c>
      <c r="E48" s="10">
        <v>116.97</v>
      </c>
      <c r="F48" s="10">
        <v>116.77</v>
      </c>
      <c r="G48">
        <v>99893400</v>
      </c>
      <c r="H48" s="127">
        <f>IF(tbl_AAPL[[#This Row],[Date]]=$A$5, $F48, EMA_Beta*$H47 + (1-EMA_Beta)*$F48)</f>
        <v>114.46468954224289</v>
      </c>
      <c r="I48" s="50">
        <f ca="1">IF(tbl_AAPL[[#This Row],[RS]]= "", "", 100-(100/(1+tbl_AAPL[[#This Row],[RS]])))</f>
        <v>60.623841877702269</v>
      </c>
      <c r="J48" s="127">
        <f ca="1">IF(ROW($N48)-4&lt;BB_Periods, "", AVERAGE(INDIRECT(ADDRESS(ROW($F48)-RSI_Periods +1, MATCH("Adj Close", Price_Header,0))): INDIRECT(ADDRESS(ROW($F48),MATCH("Adj Close", Price_Header,0)))))</f>
        <v>113.43214285714286</v>
      </c>
      <c r="K48" s="127">
        <f ca="1">IF(tbl_AAPL[[#This Row],[BB_Mean]]="", "", tbl_AAPL[[#This Row],[BB_Mean]]+(BB_Width*tbl_AAPL[[#This Row],[BB_Stdev]]))</f>
        <v>119.43041018938231</v>
      </c>
      <c r="L48" s="127">
        <f ca="1">IF(tbl_AAPL[[#This Row],[BB_Mean]]="", "", tbl_AAPL[[#This Row],[BB_Mean]]-(BB_Width*tbl_AAPL[[#This Row],[BB_Stdev]]))</f>
        <v>107.43387552490341</v>
      </c>
      <c r="M48" s="50">
        <f>IF(ROW(tbl_AAPL[[#This Row],[Adj Close]])=5, 0, $F48-$F47)</f>
        <v>2</v>
      </c>
      <c r="N48" s="50">
        <f>MAX(tbl_AAPL[[#This Row],[Move]],0)</f>
        <v>2</v>
      </c>
      <c r="O48" s="50">
        <f>MAX(-tbl_AAPL[[#This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1.4021428571428578</v>
      </c>
      <c r="Q48" s="50">
        <f ca="1">IF(ROW($O48)-5&lt;RSI_Periods, "", AVERAGE(INDIRECT(ADDRESS(ROW($O48)-RSI_Periods +1, MATCH("Downmove", Price_Header,0))): INDIRECT(ADDRESS(ROW($O48),MATCH("Downmove", Price_Header,0)))))</f>
        <v>0.9107142857142867</v>
      </c>
      <c r="R48" s="50">
        <f ca="1">IF(tbl_AAPL[[#This Row],[Avg_Upmove]]="", "", tbl_AAPL[[#This Row],[Avg_Upmove]]/tbl_AAPL[[#This Row],[Avg_Downmove]])</f>
        <v>1.539607843137254</v>
      </c>
      <c r="S48" s="50">
        <f ca="1">IF(ROW($N48)-4&lt;BB_Periods, "", _xlfn.STDEV.S(INDIRECT(ADDRESS(ROW($F48)-RSI_Periods +1, MATCH("Adj Close", Price_Header,0))): INDIRECT(ADDRESS(ROW($F48),MATCH("Adj Close", Price_Header,0)))))</f>
        <v>2.9991336661197248</v>
      </c>
    </row>
    <row r="49" spans="1:19" x14ac:dyDescent="0.35">
      <c r="A49" s="8">
        <v>44116</v>
      </c>
      <c r="B49" s="10">
        <v>120.06</v>
      </c>
      <c r="C49" s="10">
        <v>125.18</v>
      </c>
      <c r="D49" s="10">
        <v>119.28</v>
      </c>
      <c r="E49" s="10">
        <v>124.4</v>
      </c>
      <c r="F49" s="10">
        <v>124.19</v>
      </c>
      <c r="G49">
        <v>240226800</v>
      </c>
      <c r="H49" s="127">
        <f>IF(tbl_AAPL[[#This Row],[Date]]=$A$5, $F49, EMA_Beta*$H48 + (1-EMA_Beta)*$F49)</f>
        <v>115.4372205880186</v>
      </c>
      <c r="I49" s="50">
        <f ca="1">IF(tbl_AAPL[[#This Row],[RS]]= "", "", 100-(100/(1+tbl_AAPL[[#This Row],[RS]])))</f>
        <v>66.509062253743082</v>
      </c>
      <c r="J49" s="127">
        <f ca="1">IF(ROW($N49)-4&lt;BB_Periods, "", AVERAGE(INDIRECT(ADDRESS(ROW($F49)-RSI_Periods +1, MATCH("Adj Close", Price_Header,0))): INDIRECT(ADDRESS(ROW($F49),MATCH("Adj Close", Price_Header,0)))))</f>
        <v>114.33</v>
      </c>
      <c r="K49" s="127">
        <f ca="1">IF(tbl_AAPL[[#This Row],[BB_Mean]]="", "", tbl_AAPL[[#This Row],[BB_Mean]]+(BB_Width*tbl_AAPL[[#This Row],[BB_Stdev]]))</f>
        <v>122.52181580321763</v>
      </c>
      <c r="L49" s="127">
        <f ca="1">IF(tbl_AAPL[[#This Row],[BB_Mean]]="", "", tbl_AAPL[[#This Row],[BB_Mean]]-(BB_Width*tbl_AAPL[[#This Row],[BB_Stdev]]))</f>
        <v>106.13818419678236</v>
      </c>
      <c r="M49" s="50">
        <f>IF(ROW(tbl_AAPL[[#This Row],[Adj Close]])=5, 0, $F49-$F48)</f>
        <v>7.4200000000000017</v>
      </c>
      <c r="N49" s="50">
        <f>MAX(tbl_AAPL[[#This Row],[Move]],0)</f>
        <v>7.4200000000000017</v>
      </c>
      <c r="O49" s="50">
        <f>MAX(-tbl_AAPL[[#This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1.8085714285714292</v>
      </c>
      <c r="Q49" s="50">
        <f ca="1">IF(ROW($O49)-5&lt;RSI_Periods, "", AVERAGE(INDIRECT(ADDRESS(ROW($O49)-RSI_Periods +1, MATCH("Downmove", Price_Header,0))): INDIRECT(ADDRESS(ROW($O49),MATCH("Downmove", Price_Header,0)))))</f>
        <v>0.9107142857142867</v>
      </c>
      <c r="R49" s="50">
        <f ca="1">IF(tbl_AAPL[[#This Row],[Avg_Upmove]]="", "", tbl_AAPL[[#This Row],[Avg_Upmove]]/tbl_AAPL[[#This Row],[Avg_Downmove]])</f>
        <v>1.9858823529411749</v>
      </c>
      <c r="S49" s="50">
        <f ca="1">IF(ROW($N49)-4&lt;BB_Periods, "", _xlfn.STDEV.S(INDIRECT(ADDRESS(ROW($F49)-RSI_Periods +1, MATCH("Adj Close", Price_Header,0))): INDIRECT(ADDRESS(ROW($F49),MATCH("Adj Close", Price_Header,0)))))</f>
        <v>4.0959079016088156</v>
      </c>
    </row>
    <row r="50" spans="1:19" x14ac:dyDescent="0.35">
      <c r="A50" s="8">
        <v>44117</v>
      </c>
      <c r="B50" s="10">
        <v>125.27</v>
      </c>
      <c r="C50" s="10">
        <v>125.39</v>
      </c>
      <c r="D50" s="10">
        <v>119.65</v>
      </c>
      <c r="E50" s="10">
        <v>121.1</v>
      </c>
      <c r="F50" s="10">
        <v>120.89</v>
      </c>
      <c r="G50">
        <v>262330500</v>
      </c>
      <c r="H50" s="127">
        <f>IF(tbl_AAPL[[#This Row],[Date]]=$A$5, $F50, EMA_Beta*$H49 + (1-EMA_Beta)*$F50)</f>
        <v>115.98249852921674</v>
      </c>
      <c r="I50" s="50">
        <f ca="1">IF(tbl_AAPL[[#This Row],[RS]]= "", "", 100-(100/(1+tbl_AAPL[[#This Row],[RS]])))</f>
        <v>69.010629599345862</v>
      </c>
      <c r="J50" s="127">
        <f ca="1">IF(ROW($N50)-4&lt;BB_Periods, "", AVERAGE(INDIRECT(ADDRESS(ROW($F50)-RSI_Periods +1, MATCH("Adj Close", Price_Header,0))): INDIRECT(ADDRESS(ROW($F50),MATCH("Adj Close", Price_Header,0)))))</f>
        <v>115.32642857142858</v>
      </c>
      <c r="K50" s="127">
        <f ca="1">IF(tbl_AAPL[[#This Row],[BB_Mean]]="", "", tbl_AAPL[[#This Row],[BB_Mean]]+(BB_Width*tbl_AAPL[[#This Row],[BB_Stdev]]))</f>
        <v>123.02488638759233</v>
      </c>
      <c r="L50" s="127">
        <f ca="1">IF(tbl_AAPL[[#This Row],[BB_Mean]]="", "", tbl_AAPL[[#This Row],[BB_Mean]]-(BB_Width*tbl_AAPL[[#This Row],[BB_Stdev]]))</f>
        <v>107.62797075526483</v>
      </c>
      <c r="M50" s="50">
        <f>IF(ROW(tbl_AAPL[[#This Row],[Adj Close]])=5, 0, $F50-$F49)</f>
        <v>-3.2999999999999972</v>
      </c>
      <c r="N50" s="50">
        <f>MAX(tbl_AAPL[[#This Row],[Move]],0)</f>
        <v>0</v>
      </c>
      <c r="O50" s="50">
        <f>MAX(-tbl_AAPL[[#This Row],[Move]],0)</f>
        <v>3.2999999999999972</v>
      </c>
      <c r="P50" s="50">
        <f ca="1">IF(ROW($N50)-5&lt;RSI_Periods, "", AVERAGE(INDIRECT(ADDRESS(ROW($N50)-RSI_Periods +1, MATCH("Upmove", Price_Header,0))): INDIRECT(ADDRESS(ROW($N50),MATCH("Upmove", Price_Header,0)))))</f>
        <v>1.8085714285714292</v>
      </c>
      <c r="Q50" s="50">
        <f ca="1">IF(ROW($O50)-5&lt;RSI_Periods, "", AVERAGE(INDIRECT(ADDRESS(ROW($O50)-RSI_Periods +1, MATCH("Downmove", Price_Header,0))): INDIRECT(ADDRESS(ROW($O50),MATCH("Downmove", Price_Header,0)))))</f>
        <v>0.8121428571428575</v>
      </c>
      <c r="R50" s="50">
        <f ca="1">IF(tbl_AAPL[[#This Row],[Avg_Upmove]]="", "", tbl_AAPL[[#This Row],[Avg_Upmove]]/tbl_AAPL[[#This Row],[Avg_Downmove]])</f>
        <v>2.2269129287598943</v>
      </c>
      <c r="S50" s="50">
        <f ca="1">IF(ROW($N50)-4&lt;BB_Periods, "", _xlfn.STDEV.S(INDIRECT(ADDRESS(ROW($F50)-RSI_Periods +1, MATCH("Adj Close", Price_Header,0))): INDIRECT(ADDRESS(ROW($F50),MATCH("Adj Close", Price_Header,0)))))</f>
        <v>3.8492289080818747</v>
      </c>
    </row>
    <row r="51" spans="1:19" x14ac:dyDescent="0.35">
      <c r="A51" s="8">
        <v>44118</v>
      </c>
      <c r="B51" s="10">
        <v>121</v>
      </c>
      <c r="C51" s="10">
        <v>123.03</v>
      </c>
      <c r="D51" s="10">
        <v>119.62</v>
      </c>
      <c r="E51" s="10">
        <v>121.19</v>
      </c>
      <c r="F51" s="10">
        <v>120.98</v>
      </c>
      <c r="G51">
        <v>151062300</v>
      </c>
      <c r="H51" s="127">
        <f>IF(tbl_AAPL[[#This Row],[Date]]=$A$5, $F51, EMA_Beta*$H50 + (1-EMA_Beta)*$F51)</f>
        <v>116.48224867629507</v>
      </c>
      <c r="I51" s="50">
        <f ca="1">IF(tbl_AAPL[[#This Row],[RS]]= "", "", 100-(100/(1+tbl_AAPL[[#This Row],[RS]])))</f>
        <v>68.142336789016525</v>
      </c>
      <c r="J51" s="127">
        <f ca="1">IF(ROW($N51)-4&lt;BB_Periods, "", AVERAGE(INDIRECT(ADDRESS(ROW($F51)-RSI_Periods +1, MATCH("Adj Close", Price_Header,0))): INDIRECT(ADDRESS(ROW($F51),MATCH("Adj Close", Price_Header,0)))))</f>
        <v>116.25142857142859</v>
      </c>
      <c r="K51" s="127">
        <f ca="1">IF(tbl_AAPL[[#This Row],[BB_Mean]]="", "", tbl_AAPL[[#This Row],[BB_Mean]]+(BB_Width*tbl_AAPL[[#This Row],[BB_Stdev]]))</f>
        <v>123.25388026139616</v>
      </c>
      <c r="L51" s="127">
        <f ca="1">IF(tbl_AAPL[[#This Row],[BB_Mean]]="", "", tbl_AAPL[[#This Row],[BB_Mean]]-(BB_Width*tbl_AAPL[[#This Row],[BB_Stdev]]))</f>
        <v>109.24897688146102</v>
      </c>
      <c r="M51" s="50">
        <f>IF(ROW(tbl_AAPL[[#This Row],[Adj Close]])=5, 0, $F51-$F50)</f>
        <v>9.0000000000003411E-2</v>
      </c>
      <c r="N51" s="50">
        <f>MAX(tbl_AAPL[[#This Row],[Move]],0)</f>
        <v>9.0000000000003411E-2</v>
      </c>
      <c r="O51" s="50">
        <f>MAX(-tbl_AAPL[[#This Row],[Move]],0)</f>
        <v>0</v>
      </c>
      <c r="P51" s="50">
        <f ca="1">IF(ROW($N51)-5&lt;RSI_Periods, "", AVERAGE(INDIRECT(ADDRESS(ROW($N51)-RSI_Periods +1, MATCH("Upmove", Price_Header,0))): INDIRECT(ADDRESS(ROW($N51),MATCH("Upmove", Price_Header,0)))))</f>
        <v>1.7371428571428578</v>
      </c>
      <c r="Q51" s="50">
        <f ca="1">IF(ROW($O51)-5&lt;RSI_Periods, "", AVERAGE(INDIRECT(ADDRESS(ROW($O51)-RSI_Periods +1, MATCH("Downmove", Price_Header,0))): INDIRECT(ADDRESS(ROW($O51),MATCH("Downmove", Price_Header,0)))))</f>
        <v>0.8121428571428575</v>
      </c>
      <c r="R51" s="50">
        <f ca="1">IF(tbl_AAPL[[#This Row],[Avg_Upmove]]="", "", tbl_AAPL[[#This Row],[Avg_Upmove]]/tbl_AAPL[[#This Row],[Avg_Downmove]])</f>
        <v>2.13896218117854</v>
      </c>
      <c r="S51" s="50">
        <f ca="1">IF(ROW($N51)-4&lt;BB_Periods, "", _xlfn.STDEV.S(INDIRECT(ADDRESS(ROW($F51)-RSI_Periods +1, MATCH("Adj Close", Price_Header,0))): INDIRECT(ADDRESS(ROW($F51),MATCH("Adj Close", Price_Header,0)))))</f>
        <v>3.501225844983785</v>
      </c>
    </row>
    <row r="52" spans="1:19" x14ac:dyDescent="0.35">
      <c r="A52" s="8">
        <v>44119</v>
      </c>
      <c r="B52" s="10">
        <v>118.72</v>
      </c>
      <c r="C52" s="10">
        <v>121.2</v>
      </c>
      <c r="D52" s="10">
        <v>118.15</v>
      </c>
      <c r="E52" s="10">
        <v>120.71</v>
      </c>
      <c r="F52" s="10">
        <v>120.5</v>
      </c>
      <c r="G52">
        <v>112559200</v>
      </c>
      <c r="H52" s="127">
        <f>IF(tbl_AAPL[[#This Row],[Date]]=$A$5, $F52, EMA_Beta*$H51 + (1-EMA_Beta)*$F52)</f>
        <v>116.88402380866556</v>
      </c>
      <c r="I52" s="50">
        <f ca="1">IF(tbl_AAPL[[#This Row],[RS]]= "", "", 100-(100/(1+tbl_AAPL[[#This Row],[RS]])))</f>
        <v>63.09560884459669</v>
      </c>
      <c r="J52" s="127">
        <f ca="1">IF(ROW($N52)-4&lt;BB_Periods, "", AVERAGE(INDIRECT(ADDRESS(ROW($F52)-RSI_Periods +1, MATCH("Adj Close", Price_Header,0))): INDIRECT(ADDRESS(ROW($F52),MATCH("Adj Close", Price_Header,0)))))</f>
        <v>116.85214285714288</v>
      </c>
      <c r="K52" s="127">
        <f ca="1">IF(tbl_AAPL[[#This Row],[BB_Mean]]="", "", tbl_AAPL[[#This Row],[BB_Mean]]+(BB_Width*tbl_AAPL[[#This Row],[BB_Stdev]]))</f>
        <v>123.75904989540282</v>
      </c>
      <c r="L52" s="127">
        <f ca="1">IF(tbl_AAPL[[#This Row],[BB_Mean]]="", "", tbl_AAPL[[#This Row],[BB_Mean]]-(BB_Width*tbl_AAPL[[#This Row],[BB_Stdev]]))</f>
        <v>109.94523581888294</v>
      </c>
      <c r="M52" s="50">
        <f>IF(ROW(tbl_AAPL[[#This Row],[Adj Close]])=5, 0, $F52-$F51)</f>
        <v>-0.48000000000000398</v>
      </c>
      <c r="N52" s="50">
        <f>MAX(tbl_AAPL[[#This Row],[Move]],0)</f>
        <v>0</v>
      </c>
      <c r="O52" s="50">
        <f>MAX(-tbl_AAPL[[#This Row],[Move]],0)</f>
        <v>0.48000000000000398</v>
      </c>
      <c r="P52" s="50">
        <f ca="1">IF(ROW($N52)-5&lt;RSI_Periods, "", AVERAGE(INDIRECT(ADDRESS(ROW($N52)-RSI_Periods +1, MATCH("Upmove", Price_Header,0))): INDIRECT(ADDRESS(ROW($N52),MATCH("Upmove", Price_Header,0)))))</f>
        <v>1.4471428571428575</v>
      </c>
      <c r="Q52" s="50">
        <f ca="1">IF(ROW($O52)-5&lt;RSI_Periods, "", AVERAGE(INDIRECT(ADDRESS(ROW($O52)-RSI_Periods +1, MATCH("Downmove", Price_Header,0))): INDIRECT(ADDRESS(ROW($O52),MATCH("Downmove", Price_Header,0)))))</f>
        <v>0.84642857142857209</v>
      </c>
      <c r="R52" s="50">
        <f ca="1">IF(tbl_AAPL[[#This Row],[Avg_Upmove]]="", "", tbl_AAPL[[#This Row],[Avg_Upmove]]/tbl_AAPL[[#This Row],[Avg_Downmove]])</f>
        <v>1.7097046413502102</v>
      </c>
      <c r="S52" s="50">
        <f ca="1">IF(ROW($N52)-4&lt;BB_Periods, "", _xlfn.STDEV.S(INDIRECT(ADDRESS(ROW($F52)-RSI_Periods +1, MATCH("Adj Close", Price_Header,0))): INDIRECT(ADDRESS(ROW($F52),MATCH("Adj Close", Price_Header,0)))))</f>
        <v>3.4534535191299756</v>
      </c>
    </row>
    <row r="53" spans="1:19" x14ac:dyDescent="0.35">
      <c r="A53" s="8">
        <v>44120</v>
      </c>
      <c r="B53" s="10">
        <v>121.28</v>
      </c>
      <c r="C53" s="10">
        <v>121.55</v>
      </c>
      <c r="D53" s="10">
        <v>118.81</v>
      </c>
      <c r="E53" s="10">
        <v>119.02</v>
      </c>
      <c r="F53" s="10">
        <v>118.82</v>
      </c>
      <c r="G53">
        <v>115073800</v>
      </c>
      <c r="H53" s="127">
        <f>IF(tbl_AAPL[[#This Row],[Date]]=$A$5, $F53, EMA_Beta*$H52 + (1-EMA_Beta)*$F53)</f>
        <v>117.077621427799</v>
      </c>
      <c r="I53" s="50">
        <f ca="1">IF(tbl_AAPL[[#This Row],[RS]]= "", "", 100-(100/(1+tbl_AAPL[[#This Row],[RS]])))</f>
        <v>56.523136246786613</v>
      </c>
      <c r="J53" s="127">
        <f ca="1">IF(ROW($N53)-4&lt;BB_Periods, "", AVERAGE(INDIRECT(ADDRESS(ROW($F53)-RSI_Periods +1, MATCH("Adj Close", Price_Header,0))): INDIRECT(ADDRESS(ROW($F53),MATCH("Adj Close", Price_Header,0)))))</f>
        <v>117.14214285714287</v>
      </c>
      <c r="K53" s="127">
        <f ca="1">IF(tbl_AAPL[[#This Row],[BB_Mean]]="", "", tbl_AAPL[[#This Row],[BB_Mean]]+(BB_Width*tbl_AAPL[[#This Row],[BB_Stdev]]))</f>
        <v>124.01148244502367</v>
      </c>
      <c r="L53" s="127">
        <f ca="1">IF(tbl_AAPL[[#This Row],[BB_Mean]]="", "", tbl_AAPL[[#This Row],[BB_Mean]]-(BB_Width*tbl_AAPL[[#This Row],[BB_Stdev]]))</f>
        <v>110.27280326926207</v>
      </c>
      <c r="M53" s="50">
        <f>IF(ROW(tbl_AAPL[[#This Row],[Adj Close]])=5, 0, $F53-$F52)</f>
        <v>-1.6800000000000068</v>
      </c>
      <c r="N53" s="50">
        <f>MAX(tbl_AAPL[[#This Row],[Move]],0)</f>
        <v>0</v>
      </c>
      <c r="O53" s="50">
        <f>MAX(-tbl_AAPL[[#This Row],[Move]],0)</f>
        <v>1.6800000000000068</v>
      </c>
      <c r="P53" s="50">
        <f ca="1">IF(ROW($N53)-5&lt;RSI_Periods, "", AVERAGE(INDIRECT(ADDRESS(ROW($N53)-RSI_Periods +1, MATCH("Upmove", Price_Header,0))): INDIRECT(ADDRESS(ROW($N53),MATCH("Upmove", Price_Header,0)))))</f>
        <v>1.2564285714285717</v>
      </c>
      <c r="Q53" s="50">
        <f ca="1">IF(ROW($O53)-5&lt;RSI_Periods, "", AVERAGE(INDIRECT(ADDRESS(ROW($O53)-RSI_Periods +1, MATCH("Downmove", Price_Header,0))): INDIRECT(ADDRESS(ROW($O53),MATCH("Downmove", Price_Header,0)))))</f>
        <v>0.96642857142857252</v>
      </c>
      <c r="R53" s="50">
        <f ca="1">IF(tbl_AAPL[[#This Row],[Avg_Upmove]]="", "", tbl_AAPL[[#This Row],[Avg_Upmove]]/tbl_AAPL[[#This Row],[Avg_Downmove]])</f>
        <v>1.3000739098300063</v>
      </c>
      <c r="S53" s="50">
        <f ca="1">IF(ROW($N53)-4&lt;BB_Periods, "", _xlfn.STDEV.S(INDIRECT(ADDRESS(ROW($F53)-RSI_Periods +1, MATCH("Adj Close", Price_Header,0))): INDIRECT(ADDRESS(ROW($F53),MATCH("Adj Close", Price_Header,0)))))</f>
        <v>3.434669793940401</v>
      </c>
    </row>
    <row r="54" spans="1:19" x14ac:dyDescent="0.35">
      <c r="A54" s="8">
        <v>44123</v>
      </c>
      <c r="B54" s="10">
        <v>119.94</v>
      </c>
      <c r="C54" s="10">
        <v>120.42</v>
      </c>
      <c r="D54" s="10">
        <v>116.16</v>
      </c>
      <c r="E54" s="10">
        <v>116.81</v>
      </c>
      <c r="F54" s="10">
        <v>115.78</v>
      </c>
      <c r="G54">
        <v>100253000</v>
      </c>
      <c r="H54" s="127">
        <f>IF(tbl_AAPL[[#This Row],[Date]]=$A$5, $F54, EMA_Beta*$H53 + (1-EMA_Beta)*$F54)</f>
        <v>116.94785928501911</v>
      </c>
      <c r="I54" s="50">
        <f ca="1">IF(tbl_AAPL[[#This Row],[RS]]= "", "", 100-(100/(1+tbl_AAPL[[#This Row],[RS]])))</f>
        <v>52.838690297386606</v>
      </c>
      <c r="J54" s="127">
        <f ca="1">IF(ROW($N54)-4&lt;BB_Periods, "", AVERAGE(INDIRECT(ADDRESS(ROW($F54)-RSI_Periods +1, MATCH("Adj Close", Price_Header,0))): INDIRECT(ADDRESS(ROW($F54),MATCH("Adj Close", Price_Header,0)))))</f>
        <v>117.27714285714285</v>
      </c>
      <c r="K54" s="127">
        <f ca="1">IF(tbl_AAPL[[#This Row],[BB_Mean]]="", "", tbl_AAPL[[#This Row],[BB_Mean]]+(BB_Width*tbl_AAPL[[#This Row],[BB_Stdev]]))</f>
        <v>123.94242110084237</v>
      </c>
      <c r="L54" s="127">
        <f ca="1">IF(tbl_AAPL[[#This Row],[BB_Mean]]="", "", tbl_AAPL[[#This Row],[BB_Mean]]-(BB_Width*tbl_AAPL[[#This Row],[BB_Stdev]]))</f>
        <v>110.61186461344333</v>
      </c>
      <c r="M54" s="50">
        <f>IF(ROW(tbl_AAPL[[#This Row],[Adj Close]])=5, 0, $F54-$F53)</f>
        <v>-3.039999999999992</v>
      </c>
      <c r="N54" s="50">
        <f>MAX(tbl_AAPL[[#This Row],[Move]],0)</f>
        <v>0</v>
      </c>
      <c r="O54" s="50">
        <f>MAX(-tbl_AAPL[[#This Row],[Move]],0)</f>
        <v>3.039999999999992</v>
      </c>
      <c r="P54" s="50">
        <f ca="1">IF(ROW($N54)-5&lt;RSI_Periods, "", AVERAGE(INDIRECT(ADDRESS(ROW($N54)-RSI_Periods +1, MATCH("Upmove", Price_Header,0))): INDIRECT(ADDRESS(ROW($N54),MATCH("Upmove", Price_Header,0)))))</f>
        <v>1.2564285714285717</v>
      </c>
      <c r="Q54" s="50">
        <f ca="1">IF(ROW($O54)-5&lt;RSI_Periods, "", AVERAGE(INDIRECT(ADDRESS(ROW($O54)-RSI_Periods +1, MATCH("Downmove", Price_Header,0))): INDIRECT(ADDRESS(ROW($O54),MATCH("Downmove", Price_Header,0)))))</f>
        <v>1.1214285714285717</v>
      </c>
      <c r="R54" s="50">
        <f ca="1">IF(tbl_AAPL[[#This Row],[Avg_Upmove]]="", "", tbl_AAPL[[#This Row],[Avg_Upmove]]/tbl_AAPL[[#This Row],[Avg_Downmove]])</f>
        <v>1.1203821656050956</v>
      </c>
      <c r="S54" s="50">
        <f ca="1">IF(ROW($N54)-4&lt;BB_Periods, "", _xlfn.STDEV.S(INDIRECT(ADDRESS(ROW($F54)-RSI_Periods +1, MATCH("Adj Close", Price_Header,0))): INDIRECT(ADDRESS(ROW($F54),MATCH("Adj Close", Price_Header,0)))))</f>
        <v>3.3326391218497569</v>
      </c>
    </row>
    <row r="55" spans="1:19" x14ac:dyDescent="0.35">
      <c r="A55" s="8">
        <v>44124</v>
      </c>
      <c r="B55" s="10">
        <v>116.2</v>
      </c>
      <c r="C55" s="10">
        <v>118.98</v>
      </c>
      <c r="D55" s="10">
        <v>115.63</v>
      </c>
      <c r="E55" s="10">
        <v>117.51</v>
      </c>
      <c r="F55" s="10">
        <v>117.31</v>
      </c>
      <c r="G55">
        <v>124423700</v>
      </c>
      <c r="H55" s="127">
        <f>IF(tbl_AAPL[[#This Row],[Date]]=$A$5, $F55, EMA_Beta*$H54 + (1-EMA_Beta)*$F55)</f>
        <v>116.98407335651719</v>
      </c>
      <c r="I55" s="50">
        <f ca="1">IF(tbl_AAPL[[#This Row],[RS]]= "", "", 100-(100/(1+tbl_AAPL[[#This Row],[RS]])))</f>
        <v>52.567975830815712</v>
      </c>
      <c r="J55" s="127">
        <f ca="1">IF(ROW($N55)-4&lt;BB_Periods, "", AVERAGE(INDIRECT(ADDRESS(ROW($F55)-RSI_Periods +1, MATCH("Adj Close", Price_Header,0))): INDIRECT(ADDRESS(ROW($F55),MATCH("Adj Close", Price_Header,0)))))</f>
        <v>117.39857142857143</v>
      </c>
      <c r="K55" s="127">
        <f ca="1">IF(tbl_AAPL[[#This Row],[BB_Mean]]="", "", tbl_AAPL[[#This Row],[BB_Mean]]+(BB_Width*tbl_AAPL[[#This Row],[BB_Stdev]]))</f>
        <v>123.99459753824993</v>
      </c>
      <c r="L55" s="127">
        <f ca="1">IF(tbl_AAPL[[#This Row],[BB_Mean]]="", "", tbl_AAPL[[#This Row],[BB_Mean]]-(BB_Width*tbl_AAPL[[#This Row],[BB_Stdev]]))</f>
        <v>110.80254531889292</v>
      </c>
      <c r="M55" s="50">
        <f>IF(ROW(tbl_AAPL[[#This Row],[Adj Close]])=5, 0, $F55-$F54)</f>
        <v>1.5300000000000011</v>
      </c>
      <c r="N55" s="50">
        <f>MAX(tbl_AAPL[[#This Row],[Move]],0)</f>
        <v>1.5300000000000011</v>
      </c>
      <c r="O55" s="50">
        <f>MAX(-tbl_AAPL[[#This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1.2428571428571433</v>
      </c>
      <c r="Q55" s="50">
        <f ca="1">IF(ROW($O55)-5&lt;RSI_Periods, "", AVERAGE(INDIRECT(ADDRESS(ROW($O55)-RSI_Periods +1, MATCH("Downmove", Price_Header,0))): INDIRECT(ADDRESS(ROW($O55),MATCH("Downmove", Price_Header,0)))))</f>
        <v>1.1214285714285717</v>
      </c>
      <c r="R55" s="50">
        <f ca="1">IF(tbl_AAPL[[#This Row],[Avg_Upmove]]="", "", tbl_AAPL[[#This Row],[Avg_Upmove]]/tbl_AAPL[[#This Row],[Avg_Downmove]])</f>
        <v>1.1082802547770703</v>
      </c>
      <c r="S55" s="50">
        <f ca="1">IF(ROW($N55)-4&lt;BB_Periods, "", _xlfn.STDEV.S(INDIRECT(ADDRESS(ROW($F55)-RSI_Periods +1, MATCH("Adj Close", Price_Header,0))): INDIRECT(ADDRESS(ROW($F55),MATCH("Adj Close", Price_Header,0)))))</f>
        <v>3.2980130548392488</v>
      </c>
    </row>
    <row r="56" spans="1:19" x14ac:dyDescent="0.35">
      <c r="A56" s="8">
        <v>44125</v>
      </c>
      <c r="B56" s="10">
        <v>116.67</v>
      </c>
      <c r="C56" s="10">
        <v>118.71</v>
      </c>
      <c r="D56" s="10">
        <v>116.45</v>
      </c>
      <c r="E56" s="10">
        <v>116.87</v>
      </c>
      <c r="F56" s="10">
        <v>116.67</v>
      </c>
      <c r="G56">
        <v>89946000</v>
      </c>
      <c r="H56" s="127">
        <f>IF(tbl_AAPL[[#This Row],[Date]]=$A$5, $F56, EMA_Beta*$H55 + (1-EMA_Beta)*$F56)</f>
        <v>116.95266602086546</v>
      </c>
      <c r="I56" s="50">
        <f ca="1">IF(tbl_AAPL[[#This Row],[RS]]= "", "", 100-(100/(1+tbl_AAPL[[#This Row],[RS]])))</f>
        <v>50.122100122100115</v>
      </c>
      <c r="J56" s="127">
        <f ca="1">IF(ROW($N56)-4&lt;BB_Periods, "", AVERAGE(INDIRECT(ADDRESS(ROW($F56)-RSI_Periods +1, MATCH("Adj Close", Price_Header,0))): INDIRECT(ADDRESS(ROW($F56),MATCH("Adj Close", Price_Header,0)))))</f>
        <v>117.40428571428571</v>
      </c>
      <c r="K56" s="127">
        <f ca="1">IF(tbl_AAPL[[#This Row],[BB_Mean]]="", "", tbl_AAPL[[#This Row],[BB_Mean]]+(BB_Width*tbl_AAPL[[#This Row],[BB_Stdev]]))</f>
        <v>123.99743233919725</v>
      </c>
      <c r="L56" s="127">
        <f ca="1">IF(tbl_AAPL[[#This Row],[BB_Mean]]="", "", tbl_AAPL[[#This Row],[BB_Mean]]-(BB_Width*tbl_AAPL[[#This Row],[BB_Stdev]]))</f>
        <v>110.81113908937417</v>
      </c>
      <c r="M56" s="50">
        <f>IF(ROW(tbl_AAPL[[#This Row],[Adj Close]])=5, 0, $F56-$F55)</f>
        <v>-0.64000000000000057</v>
      </c>
      <c r="N56" s="50">
        <f>MAX(tbl_AAPL[[#This Row],[Move]],0)</f>
        <v>0</v>
      </c>
      <c r="O56" s="50">
        <f>MAX(-tbl_AAPL[[#This Row],[Move]],0)</f>
        <v>0.64000000000000057</v>
      </c>
      <c r="P56" s="50">
        <f ca="1">IF(ROW($N56)-5&lt;RSI_Periods, "", AVERAGE(INDIRECT(ADDRESS(ROW($N56)-RSI_Periods +1, MATCH("Upmove", Price_Header,0))): INDIRECT(ADDRESS(ROW($N56),MATCH("Upmove", Price_Header,0)))))</f>
        <v>1.172857142857143</v>
      </c>
      <c r="Q56" s="50">
        <f ca="1">IF(ROW($O56)-5&lt;RSI_Periods, "", AVERAGE(INDIRECT(ADDRESS(ROW($O56)-RSI_Periods +1, MATCH("Downmove", Price_Header,0))): INDIRECT(ADDRESS(ROW($O56),MATCH("Downmove", Price_Header,0)))))</f>
        <v>1.1671428571428575</v>
      </c>
      <c r="R56" s="50">
        <f ca="1">IF(tbl_AAPL[[#This Row],[Avg_Upmove]]="", "", tbl_AAPL[[#This Row],[Avg_Upmove]]/tbl_AAPL[[#This Row],[Avg_Downmove]])</f>
        <v>1.0048959608323131</v>
      </c>
      <c r="S56" s="50">
        <f ca="1">IF(ROW($N56)-4&lt;BB_Periods, "", _xlfn.STDEV.S(INDIRECT(ADDRESS(ROW($F56)-RSI_Periods +1, MATCH("Adj Close", Price_Header,0))): INDIRECT(ADDRESS(ROW($F56),MATCH("Adj Close", Price_Header,0)))))</f>
        <v>3.2965733124557701</v>
      </c>
    </row>
    <row r="57" spans="1:19" x14ac:dyDescent="0.35">
      <c r="A57" s="8">
        <v>44126</v>
      </c>
      <c r="B57" s="10">
        <v>117.45</v>
      </c>
      <c r="C57" s="10">
        <v>118.04</v>
      </c>
      <c r="D57" s="10">
        <v>114.59</v>
      </c>
      <c r="E57" s="10">
        <v>115.75</v>
      </c>
      <c r="F57" s="10">
        <v>115.55</v>
      </c>
      <c r="G57">
        <v>101988000</v>
      </c>
      <c r="H57" s="127">
        <f>IF(tbl_AAPL[[#This Row],[Date]]=$A$5, $F57, EMA_Beta*$H56 + (1-EMA_Beta)*$F57)</f>
        <v>116.81239941877891</v>
      </c>
      <c r="I57" s="50">
        <f ca="1">IF(tbl_AAPL[[#This Row],[RS]]= "", "", 100-(100/(1+tbl_AAPL[[#This Row],[RS]])))</f>
        <v>54.515272244355913</v>
      </c>
      <c r="J57" s="127">
        <f ca="1">IF(ROW($N57)-4&lt;BB_Periods, "", AVERAGE(INDIRECT(ADDRESS(ROW($F57)-RSI_Periods +1, MATCH("Adj Close", Price_Header,0))): INDIRECT(ADDRESS(ROW($F57),MATCH("Adj Close", Price_Header,0)))))</f>
        <v>117.59857142857142</v>
      </c>
      <c r="K57" s="127">
        <f ca="1">IF(tbl_AAPL[[#This Row],[BB_Mean]]="", "", tbl_AAPL[[#This Row],[BB_Mean]]+(BB_Width*tbl_AAPL[[#This Row],[BB_Stdev]]))</f>
        <v>123.75704205361791</v>
      </c>
      <c r="L57" s="127">
        <f ca="1">IF(tbl_AAPL[[#This Row],[BB_Mean]]="", "", tbl_AAPL[[#This Row],[BB_Mean]]-(BB_Width*tbl_AAPL[[#This Row],[BB_Stdev]]))</f>
        <v>111.44010080352493</v>
      </c>
      <c r="M57" s="50">
        <f>IF(ROW(tbl_AAPL[[#This Row],[Adj Close]])=5, 0, $F57-$F56)</f>
        <v>-1.1200000000000045</v>
      </c>
      <c r="N57" s="50">
        <f>MAX(tbl_AAPL[[#This Row],[Move]],0)</f>
        <v>0</v>
      </c>
      <c r="O57" s="50">
        <f>MAX(-tbl_AAPL[[#This Row],[Move]],0)</f>
        <v>1.1200000000000045</v>
      </c>
      <c r="P57" s="50">
        <f ca="1">IF(ROW($N57)-5&lt;RSI_Periods, "", AVERAGE(INDIRECT(ADDRESS(ROW($N57)-RSI_Periods +1, MATCH("Upmove", Price_Header,0))): INDIRECT(ADDRESS(ROW($N57),MATCH("Upmove", Price_Header,0)))))</f>
        <v>1.172857142857143</v>
      </c>
      <c r="Q57" s="50">
        <f ca="1">IF(ROW($O57)-5&lt;RSI_Periods, "", AVERAGE(INDIRECT(ADDRESS(ROW($O57)-RSI_Periods +1, MATCH("Downmove", Price_Header,0))): INDIRECT(ADDRESS(ROW($O57),MATCH("Downmove", Price_Header,0)))))</f>
        <v>0.97857142857142876</v>
      </c>
      <c r="R57" s="50">
        <f ca="1">IF(tbl_AAPL[[#This Row],[Avg_Upmove]]="", "", tbl_AAPL[[#This Row],[Avg_Upmove]]/tbl_AAPL[[#This Row],[Avg_Downmove]])</f>
        <v>1.1985401459854015</v>
      </c>
      <c r="S57" s="50">
        <f ca="1">IF(ROW($N57)-4&lt;BB_Periods, "", _xlfn.STDEV.S(INDIRECT(ADDRESS(ROW($F57)-RSI_Periods +1, MATCH("Adj Close", Price_Header,0))): INDIRECT(ADDRESS(ROW($F57),MATCH("Adj Close", Price_Header,0)))))</f>
        <v>3.079235312523243</v>
      </c>
    </row>
    <row r="58" spans="1:19" x14ac:dyDescent="0.35">
      <c r="A58" s="8">
        <v>44127</v>
      </c>
      <c r="B58" s="10">
        <v>116.39</v>
      </c>
      <c r="C58" s="10">
        <v>116.55</v>
      </c>
      <c r="D58" s="10">
        <v>114.28</v>
      </c>
      <c r="E58" s="10">
        <v>115.04</v>
      </c>
      <c r="F58" s="10">
        <v>114.84</v>
      </c>
      <c r="G58">
        <v>82572600</v>
      </c>
      <c r="H58" s="127">
        <f>IF(tbl_AAPL[[#This Row],[Date]]=$A$5, $F58, EMA_Beta*$H57 + (1-EMA_Beta)*$F58)</f>
        <v>116.61515947690101</v>
      </c>
      <c r="I58" s="50">
        <f ca="1">IF(tbl_AAPL[[#This Row],[RS]]= "", "", 100-(100/(1+tbl_AAPL[[#This Row],[RS]])))</f>
        <v>47.331871345029242</v>
      </c>
      <c r="J58" s="127">
        <f ca="1">IF(ROW($N58)-4&lt;BB_Periods, "", AVERAGE(INDIRECT(ADDRESS(ROW($F58)-RSI_Periods +1, MATCH("Adj Close", Price_Header,0))): INDIRECT(ADDRESS(ROW($F58),MATCH("Adj Close", Price_Header,0)))))</f>
        <v>117.49428571428571</v>
      </c>
      <c r="K58" s="127">
        <f ca="1">IF(tbl_AAPL[[#This Row],[BB_Mean]]="", "", tbl_AAPL[[#This Row],[BB_Mean]]+(BB_Width*tbl_AAPL[[#This Row],[BB_Stdev]]))</f>
        <v>123.79527813568295</v>
      </c>
      <c r="L58" s="127">
        <f ca="1">IF(tbl_AAPL[[#This Row],[BB_Mean]]="", "", tbl_AAPL[[#This Row],[BB_Mean]]-(BB_Width*tbl_AAPL[[#This Row],[BB_Stdev]]))</f>
        <v>111.19329329288847</v>
      </c>
      <c r="M58" s="50">
        <f>IF(ROW(tbl_AAPL[[#This Row],[Adj Close]])=5, 0, $F58-$F57)</f>
        <v>-0.70999999999999375</v>
      </c>
      <c r="N58" s="50">
        <f>MAX(tbl_AAPL[[#This Row],[Move]],0)</f>
        <v>0</v>
      </c>
      <c r="O58" s="50">
        <f>MAX(-tbl_AAPL[[#This Row],[Move]],0)</f>
        <v>0.70999999999999375</v>
      </c>
      <c r="P58" s="50">
        <f ca="1">IF(ROW($N58)-5&lt;RSI_Periods, "", AVERAGE(INDIRECT(ADDRESS(ROW($N58)-RSI_Periods +1, MATCH("Upmove", Price_Header,0))): INDIRECT(ADDRESS(ROW($N58),MATCH("Upmove", Price_Header,0)))))</f>
        <v>0.92500000000000016</v>
      </c>
      <c r="Q58" s="50">
        <f ca="1">IF(ROW($O58)-5&lt;RSI_Periods, "", AVERAGE(INDIRECT(ADDRESS(ROW($O58)-RSI_Periods +1, MATCH("Downmove", Price_Header,0))): INDIRECT(ADDRESS(ROW($O58),MATCH("Downmove", Price_Header,0)))))</f>
        <v>1.0292857142857141</v>
      </c>
      <c r="R58" s="50">
        <f ca="1">IF(tbl_AAPL[[#This Row],[Avg_Upmove]]="", "", tbl_AAPL[[#This Row],[Avg_Upmove]]/tbl_AAPL[[#This Row],[Avg_Downmove]])</f>
        <v>0.89868147120055542</v>
      </c>
      <c r="S58" s="50">
        <f ca="1">IF(ROW($N58)-4&lt;BB_Periods, "", _xlfn.STDEV.S(INDIRECT(ADDRESS(ROW($F58)-RSI_Periods +1, MATCH("Adj Close", Price_Header,0))): INDIRECT(ADDRESS(ROW($F58),MATCH("Adj Close", Price_Header,0)))))</f>
        <v>3.1504962106986221</v>
      </c>
    </row>
    <row r="59" spans="1:19" x14ac:dyDescent="0.35">
      <c r="A59" s="8">
        <v>44130</v>
      </c>
      <c r="B59" s="10">
        <v>114.01</v>
      </c>
      <c r="C59" s="10">
        <v>116.55</v>
      </c>
      <c r="D59" s="10">
        <v>112.88</v>
      </c>
      <c r="E59" s="10">
        <v>115.05</v>
      </c>
      <c r="F59" s="10">
        <v>114.85</v>
      </c>
      <c r="G59">
        <v>111850700</v>
      </c>
      <c r="H59" s="127">
        <f>IF(tbl_AAPL[[#This Row],[Date]]=$A$5, $F59, EMA_Beta*$H58 + (1-EMA_Beta)*$F59)</f>
        <v>116.43864352921091</v>
      </c>
      <c r="I59" s="50">
        <f ca="1">IF(tbl_AAPL[[#This Row],[RS]]= "", "", 100-(100/(1+tbl_AAPL[[#This Row],[RS]])))</f>
        <v>53.910149750415968</v>
      </c>
      <c r="J59" s="127">
        <f ca="1">IF(ROW($N59)-4&lt;BB_Periods, "", AVERAGE(INDIRECT(ADDRESS(ROW($F59)-RSI_Periods +1, MATCH("Adj Close", Price_Header,0))): INDIRECT(ADDRESS(ROW($F59),MATCH("Adj Close", Price_Header,0)))))</f>
        <v>117.62857142857141</v>
      </c>
      <c r="K59" s="127">
        <f ca="1">IF(tbl_AAPL[[#This Row],[BB_Mean]]="", "", tbl_AAPL[[#This Row],[BB_Mean]]+(BB_Width*tbl_AAPL[[#This Row],[BB_Stdev]]))</f>
        <v>123.5849195980863</v>
      </c>
      <c r="L59" s="127">
        <f ca="1">IF(tbl_AAPL[[#This Row],[BB_Mean]]="", "", tbl_AAPL[[#This Row],[BB_Mean]]-(BB_Width*tbl_AAPL[[#This Row],[BB_Stdev]]))</f>
        <v>111.67222325905651</v>
      </c>
      <c r="M59" s="50">
        <f>IF(ROW(tbl_AAPL[[#This Row],[Adj Close]])=5, 0, $F59-$F58)</f>
        <v>9.9999999999909051E-3</v>
      </c>
      <c r="N59" s="50">
        <f>MAX(tbl_AAPL[[#This Row],[Move]],0)</f>
        <v>9.9999999999909051E-3</v>
      </c>
      <c r="O59" s="50">
        <f>MAX(-tbl_AAPL[[#This Row],[Move]],0)</f>
        <v>0</v>
      </c>
      <c r="P59" s="50">
        <f ca="1">IF(ROW($N59)-5&lt;RSI_Periods, "", AVERAGE(INDIRECT(ADDRESS(ROW($N59)-RSI_Periods +1, MATCH("Upmove", Price_Header,0))): INDIRECT(ADDRESS(ROW($N59),MATCH("Upmove", Price_Header,0)))))</f>
        <v>0.92571428571428527</v>
      </c>
      <c r="Q59" s="50">
        <f ca="1">IF(ROW($O59)-5&lt;RSI_Periods, "", AVERAGE(INDIRECT(ADDRESS(ROW($O59)-RSI_Periods +1, MATCH("Downmove", Price_Header,0))): INDIRECT(ADDRESS(ROW($O59),MATCH("Downmove", Price_Header,0)))))</f>
        <v>0.79142857142857126</v>
      </c>
      <c r="R59" s="50">
        <f ca="1">IF(tbl_AAPL[[#This Row],[Avg_Upmove]]="", "", tbl_AAPL[[#This Row],[Avg_Upmove]]/tbl_AAPL[[#This Row],[Avg_Downmove]])</f>
        <v>1.1696750902527073</v>
      </c>
      <c r="S59" s="50">
        <f ca="1">IF(ROW($N59)-4&lt;BB_Periods, "", _xlfn.STDEV.S(INDIRECT(ADDRESS(ROW($F59)-RSI_Periods +1, MATCH("Adj Close", Price_Header,0))): INDIRECT(ADDRESS(ROW($F59),MATCH("Adj Close", Price_Header,0)))))</f>
        <v>2.9781740847574514</v>
      </c>
    </row>
    <row r="60" spans="1:19" x14ac:dyDescent="0.35">
      <c r="A60" s="8">
        <v>44131</v>
      </c>
      <c r="B60" s="10">
        <v>115.49</v>
      </c>
      <c r="C60" s="10">
        <v>117.28</v>
      </c>
      <c r="D60" s="10">
        <v>114.54</v>
      </c>
      <c r="E60" s="10">
        <v>116.6</v>
      </c>
      <c r="F60" s="10">
        <v>116.4</v>
      </c>
      <c r="G60">
        <v>92276800</v>
      </c>
      <c r="H60" s="127">
        <f>IF(tbl_AAPL[[#This Row],[Date]]=$A$5, $F60, EMA_Beta*$H59 + (1-EMA_Beta)*$F60)</f>
        <v>116.43477917628982</v>
      </c>
      <c r="I60" s="50">
        <f ca="1">IF(tbl_AAPL[[#This Row],[RS]]= "", "", 100-(100/(1+tbl_AAPL[[#This Row],[RS]])))</f>
        <v>53.209459459459481</v>
      </c>
      <c r="J60" s="127">
        <f ca="1">IF(ROW($N60)-4&lt;BB_Periods, "", AVERAGE(INDIRECT(ADDRESS(ROW($F60)-RSI_Periods +1, MATCH("Adj Close", Price_Header,0))): INDIRECT(ADDRESS(ROW($F60),MATCH("Adj Close", Price_Header,0)))))</f>
        <v>117.73714285714286</v>
      </c>
      <c r="K60" s="127">
        <f ca="1">IF(tbl_AAPL[[#This Row],[BB_Mean]]="", "", tbl_AAPL[[#This Row],[BB_Mean]]+(BB_Width*tbl_AAPL[[#This Row],[BB_Stdev]]))</f>
        <v>123.53086587206396</v>
      </c>
      <c r="L60" s="127">
        <f ca="1">IF(tbl_AAPL[[#This Row],[BB_Mean]]="", "", tbl_AAPL[[#This Row],[BB_Mean]]-(BB_Width*tbl_AAPL[[#This Row],[BB_Stdev]]))</f>
        <v>111.94341984222176</v>
      </c>
      <c r="M60" s="50">
        <f>IF(ROW(tbl_AAPL[[#This Row],[Adj Close]])=5, 0, $F60-$F59)</f>
        <v>1.5500000000000114</v>
      </c>
      <c r="N60" s="50">
        <f>MAX(tbl_AAPL[[#This Row],[Move]],0)</f>
        <v>1.5500000000000114</v>
      </c>
      <c r="O60" s="50">
        <f>MAX(-tbl_AAPL[[#This Row],[Move]],0)</f>
        <v>0</v>
      </c>
      <c r="P60" s="50">
        <f ca="1">IF(ROW($N60)-5&lt;RSI_Periods, "", AVERAGE(INDIRECT(ADDRESS(ROW($N60)-RSI_Periods +1, MATCH("Upmove", Price_Header,0))): INDIRECT(ADDRESS(ROW($N60),MATCH("Upmove", Price_Header,0)))))</f>
        <v>0.90000000000000058</v>
      </c>
      <c r="Q60" s="50">
        <f ca="1">IF(ROW($O60)-5&lt;RSI_Periods, "", AVERAGE(INDIRECT(ADDRESS(ROW($O60)-RSI_Periods +1, MATCH("Downmove", Price_Header,0))): INDIRECT(ADDRESS(ROW($O60),MATCH("Downmove", Price_Header,0)))))</f>
        <v>0.79142857142857126</v>
      </c>
      <c r="R60" s="50">
        <f ca="1">IF(tbl_AAPL[[#This Row],[Avg_Upmove]]="", "", tbl_AAPL[[#This Row],[Avg_Upmove]]/tbl_AAPL[[#This Row],[Avg_Downmove]])</f>
        <v>1.1371841155234668</v>
      </c>
      <c r="S60" s="50">
        <f ca="1">IF(ROW($N60)-4&lt;BB_Periods, "", _xlfn.STDEV.S(INDIRECT(ADDRESS(ROW($F60)-RSI_Periods +1, MATCH("Adj Close", Price_Header,0))): INDIRECT(ADDRESS(ROW($F60),MATCH("Adj Close", Price_Header,0)))))</f>
        <v>2.8968615074605477</v>
      </c>
    </row>
    <row r="61" spans="1:19" x14ac:dyDescent="0.35">
      <c r="A61" s="8">
        <v>44132</v>
      </c>
      <c r="B61" s="10">
        <v>115.05</v>
      </c>
      <c r="C61" s="10">
        <v>115.43</v>
      </c>
      <c r="D61" s="10">
        <v>111.1</v>
      </c>
      <c r="E61" s="10">
        <v>111.2</v>
      </c>
      <c r="F61" s="10">
        <v>111.01</v>
      </c>
      <c r="G61">
        <v>143937800</v>
      </c>
      <c r="H61" s="127">
        <f>IF(tbl_AAPL[[#This Row],[Date]]=$A$5, $F61, EMA_Beta*$H60 + (1-EMA_Beta)*$F61)</f>
        <v>115.89230125866084</v>
      </c>
      <c r="I61" s="50">
        <f ca="1">IF(tbl_AAPL[[#This Row],[RS]]= "", "", 100-(100/(1+tbl_AAPL[[#This Row],[RS]])))</f>
        <v>43.508287292817691</v>
      </c>
      <c r="J61" s="127">
        <f ca="1">IF(ROW($N61)-4&lt;BB_Periods, "", AVERAGE(INDIRECT(ADDRESS(ROW($F61)-RSI_Periods +1, MATCH("Adj Close", Price_Header,0))): INDIRECT(ADDRESS(ROW($F61),MATCH("Adj Close", Price_Header,0)))))</f>
        <v>117.46857142857141</v>
      </c>
      <c r="K61" s="127">
        <f ca="1">IF(tbl_AAPL[[#This Row],[BB_Mean]]="", "", tbl_AAPL[[#This Row],[BB_Mean]]+(BB_Width*tbl_AAPL[[#This Row],[BB_Stdev]]))</f>
        <v>124.13730839648765</v>
      </c>
      <c r="L61" s="127">
        <f ca="1">IF(tbl_AAPL[[#This Row],[BB_Mean]]="", "", tbl_AAPL[[#This Row],[BB_Mean]]-(BB_Width*tbl_AAPL[[#This Row],[BB_Stdev]]))</f>
        <v>110.79983446065516</v>
      </c>
      <c r="M61" s="50">
        <f>IF(ROW(tbl_AAPL[[#This Row],[Adj Close]])=5, 0, $F61-$F60)</f>
        <v>-5.3900000000000006</v>
      </c>
      <c r="N61" s="50">
        <f>MAX(tbl_AAPL[[#This Row],[Move]],0)</f>
        <v>0</v>
      </c>
      <c r="O61" s="50">
        <f>MAX(-tbl_AAPL[[#This Row],[Move]],0)</f>
        <v>5.3900000000000006</v>
      </c>
      <c r="P61" s="50">
        <f ca="1">IF(ROW($N61)-5&lt;RSI_Periods, "", AVERAGE(INDIRECT(ADDRESS(ROW($N61)-RSI_Periods +1, MATCH("Upmove", Price_Header,0))): INDIRECT(ADDRESS(ROW($N61),MATCH("Upmove", Price_Header,0)))))</f>
        <v>0.90000000000000058</v>
      </c>
      <c r="Q61" s="50">
        <f ca="1">IF(ROW($O61)-5&lt;RSI_Periods, "", AVERAGE(INDIRECT(ADDRESS(ROW($O61)-RSI_Periods +1, MATCH("Downmove", Price_Header,0))): INDIRECT(ADDRESS(ROW($O61),MATCH("Downmove", Price_Header,0)))))</f>
        <v>1.1685714285714286</v>
      </c>
      <c r="R61" s="50">
        <f ca="1">IF(tbl_AAPL[[#This Row],[Avg_Upmove]]="", "", tbl_AAPL[[#This Row],[Avg_Upmove]]/tbl_AAPL[[#This Row],[Avg_Downmove]])</f>
        <v>0.77017114914425477</v>
      </c>
      <c r="S61" s="50">
        <f ca="1">IF(ROW($N61)-4&lt;BB_Periods, "", _xlfn.STDEV.S(INDIRECT(ADDRESS(ROW($F61)-RSI_Periods +1, MATCH("Adj Close", Price_Header,0))): INDIRECT(ADDRESS(ROW($F61),MATCH("Adj Close", Price_Header,0)))))</f>
        <v>3.3343684839581216</v>
      </c>
    </row>
    <row r="62" spans="1:19" x14ac:dyDescent="0.35">
      <c r="A62" s="8">
        <v>44133</v>
      </c>
      <c r="B62" s="10">
        <v>112.37</v>
      </c>
      <c r="C62" s="10">
        <v>116.93</v>
      </c>
      <c r="D62" s="10">
        <v>112.2</v>
      </c>
      <c r="E62" s="10">
        <v>115.32</v>
      </c>
      <c r="F62" s="10">
        <v>115.12</v>
      </c>
      <c r="G62">
        <v>146129200</v>
      </c>
      <c r="H62" s="127">
        <f>IF(tbl_AAPL[[#This Row],[Date]]=$A$5, $F62, EMA_Beta*$H61 + (1-EMA_Beta)*$F62)</f>
        <v>115.81507113279476</v>
      </c>
      <c r="I62" s="50">
        <f ca="1">IF(tbl_AAPL[[#This Row],[RS]]= "", "", 100-(100/(1+tbl_AAPL[[#This Row],[RS]])))</f>
        <v>47.344705503701334</v>
      </c>
      <c r="J62" s="127">
        <f ca="1">IF(ROW($N62)-4&lt;BB_Periods, "", AVERAGE(INDIRECT(ADDRESS(ROW($F62)-RSI_Periods +1, MATCH("Adj Close", Price_Header,0))): INDIRECT(ADDRESS(ROW($F62),MATCH("Adj Close", Price_Header,0)))))</f>
        <v>117.35071428571428</v>
      </c>
      <c r="K62" s="127">
        <f ca="1">IF(tbl_AAPL[[#This Row],[BB_Mean]]="", "", tbl_AAPL[[#This Row],[BB_Mean]]+(BB_Width*tbl_AAPL[[#This Row],[BB_Stdev]]))</f>
        <v>124.13003789293562</v>
      </c>
      <c r="L62" s="127">
        <f ca="1">IF(tbl_AAPL[[#This Row],[BB_Mean]]="", "", tbl_AAPL[[#This Row],[BB_Mean]]-(BB_Width*tbl_AAPL[[#This Row],[BB_Stdev]]))</f>
        <v>110.57139067849293</v>
      </c>
      <c r="M62" s="50">
        <f>IF(ROW(tbl_AAPL[[#This Row],[Adj Close]])=5, 0, $F62-$F61)</f>
        <v>4.1099999999999994</v>
      </c>
      <c r="N62" s="50">
        <f>MAX(tbl_AAPL[[#This Row],[Move]],0)</f>
        <v>4.1099999999999994</v>
      </c>
      <c r="O62" s="50">
        <f>MAX(-tbl_AAPL[[#This Row],[Move]],0)</f>
        <v>0</v>
      </c>
      <c r="P62" s="50">
        <f ca="1">IF(ROW($N62)-5&lt;RSI_Periods, "", AVERAGE(INDIRECT(ADDRESS(ROW($N62)-RSI_Periods +1, MATCH("Upmove", Price_Header,0))): INDIRECT(ADDRESS(ROW($N62),MATCH("Upmove", Price_Header,0)))))</f>
        <v>1.0507142857142864</v>
      </c>
      <c r="Q62" s="50">
        <f ca="1">IF(ROW($O62)-5&lt;RSI_Periods, "", AVERAGE(INDIRECT(ADDRESS(ROW($O62)-RSI_Periods +1, MATCH("Downmove", Price_Header,0))): INDIRECT(ADDRESS(ROW($O62),MATCH("Downmove", Price_Header,0)))))</f>
        <v>1.1685714285714286</v>
      </c>
      <c r="R62" s="50">
        <f ca="1">IF(tbl_AAPL[[#This Row],[Avg_Upmove]]="", "", tbl_AAPL[[#This Row],[Avg_Upmove]]/tbl_AAPL[[#This Row],[Avg_Downmove]])</f>
        <v>0.89914425427872913</v>
      </c>
      <c r="S62" s="50">
        <f ca="1">IF(ROW($N62)-4&lt;BB_Periods, "", _xlfn.STDEV.S(INDIRECT(ADDRESS(ROW($F62)-RSI_Periods +1, MATCH("Adj Close", Price_Header,0))): INDIRECT(ADDRESS(ROW($F62),MATCH("Adj Close", Price_Header,0)))))</f>
        <v>3.3896618036106698</v>
      </c>
    </row>
    <row r="63" spans="1:19" x14ac:dyDescent="0.35">
      <c r="A63" s="8">
        <v>44134</v>
      </c>
      <c r="B63" s="10">
        <v>111.06</v>
      </c>
      <c r="C63" s="10">
        <v>111.99</v>
      </c>
      <c r="D63" s="10">
        <v>107.72</v>
      </c>
      <c r="E63" s="10">
        <v>108.86</v>
      </c>
      <c r="F63" s="10">
        <v>108.67</v>
      </c>
      <c r="G63">
        <v>190272600</v>
      </c>
      <c r="H63" s="127">
        <f>IF(tbl_AAPL[[#This Row],[Date]]=$A$5, $F63, EMA_Beta*$H62 + (1-EMA_Beta)*$F63)</f>
        <v>115.10056401951528</v>
      </c>
      <c r="I63" s="50">
        <f ca="1">IF(tbl_AAPL[[#This Row],[RS]]= "", "", 100-(100/(1+tbl_AAPL[[#This Row],[RS]])))</f>
        <v>24.21926910299004</v>
      </c>
      <c r="J63" s="127">
        <f ca="1">IF(ROW($N63)-4&lt;BB_Periods, "", AVERAGE(INDIRECT(ADDRESS(ROW($F63)-RSI_Periods +1, MATCH("Adj Close", Price_Header,0))): INDIRECT(ADDRESS(ROW($F63),MATCH("Adj Close", Price_Header,0)))))</f>
        <v>116.24214285714285</v>
      </c>
      <c r="K63" s="127">
        <f ca="1">IF(tbl_AAPL[[#This Row],[BB_Mean]]="", "", tbl_AAPL[[#This Row],[BB_Mean]]+(BB_Width*tbl_AAPL[[#This Row],[BB_Stdev]]))</f>
        <v>123.2748452748983</v>
      </c>
      <c r="L63" s="127">
        <f ca="1">IF(tbl_AAPL[[#This Row],[BB_Mean]]="", "", tbl_AAPL[[#This Row],[BB_Mean]]-(BB_Width*tbl_AAPL[[#This Row],[BB_Stdev]]))</f>
        <v>109.20944043938741</v>
      </c>
      <c r="M63" s="50">
        <f>IF(ROW(tbl_AAPL[[#This Row],[Adj Close]])=5, 0, $F63-$F62)</f>
        <v>-6.4500000000000028</v>
      </c>
      <c r="N63" s="50">
        <f>MAX(tbl_AAPL[[#This Row],[Move]],0)</f>
        <v>0</v>
      </c>
      <c r="O63" s="50">
        <f>MAX(-tbl_AAPL[[#This Row],[Move]],0)</f>
        <v>6.4500000000000028</v>
      </c>
      <c r="P63" s="50">
        <f ca="1">IF(ROW($N63)-5&lt;RSI_Periods, "", AVERAGE(INDIRECT(ADDRESS(ROW($N63)-RSI_Periods +1, MATCH("Upmove", Price_Header,0))): INDIRECT(ADDRESS(ROW($N63),MATCH("Upmove", Price_Header,0)))))</f>
        <v>0.52071428571428613</v>
      </c>
      <c r="Q63" s="50">
        <f ca="1">IF(ROW($O63)-5&lt;RSI_Periods, "", AVERAGE(INDIRECT(ADDRESS(ROW($O63)-RSI_Periods +1, MATCH("Downmove", Price_Header,0))): INDIRECT(ADDRESS(ROW($O63),MATCH("Downmove", Price_Header,0)))))</f>
        <v>1.6292857142857144</v>
      </c>
      <c r="R63" s="50">
        <f ca="1">IF(tbl_AAPL[[#This Row],[Avg_Upmove]]="", "", tbl_AAPL[[#This Row],[Avg_Upmove]]/tbl_AAPL[[#This Row],[Avg_Downmove]])</f>
        <v>0.31959666812801424</v>
      </c>
      <c r="S63" s="50">
        <f ca="1">IF(ROW($N63)-4&lt;BB_Periods, "", _xlfn.STDEV.S(INDIRECT(ADDRESS(ROW($F63)-RSI_Periods +1, MATCH("Adj Close", Price_Header,0))): INDIRECT(ADDRESS(ROW($F63),MATCH("Adj Close", Price_Header,0)))))</f>
        <v>3.516351208877722</v>
      </c>
    </row>
    <row r="64" spans="1:19" x14ac:dyDescent="0.35">
      <c r="A64" s="8">
        <v>44137</v>
      </c>
      <c r="B64" s="10">
        <v>109.11</v>
      </c>
      <c r="C64" s="10">
        <v>110.68</v>
      </c>
      <c r="D64" s="10">
        <v>107.32</v>
      </c>
      <c r="E64" s="10">
        <v>108.77</v>
      </c>
      <c r="F64" s="10">
        <v>108.58</v>
      </c>
      <c r="G64" s="138">
        <v>122866900</v>
      </c>
      <c r="H64" s="127">
        <f>IF(tbl_AAPL[[#This Row],[Date]]=$A$5, $F64, EMA_Beta*$H63 + (1-EMA_Beta)*$F64)</f>
        <v>114.44850761756373</v>
      </c>
      <c r="I64" s="50">
        <f ca="1">IF(tbl_AAPL[[#This Row],[RS]]= "", "", 100-(100/(1+tbl_AAPL[[#This Row],[RS]])))</f>
        <v>27.110449981405736</v>
      </c>
      <c r="J64" s="127">
        <f ca="1">IF(ROW($N64)-4&lt;BB_Periods, "", AVERAGE(INDIRECT(ADDRESS(ROW($F64)-RSI_Periods +1, MATCH("Adj Close", Price_Header,0))): INDIRECT(ADDRESS(ROW($F64),MATCH("Adj Close", Price_Header,0)))))</f>
        <v>115.36285714285714</v>
      </c>
      <c r="K64" s="127">
        <f ca="1">IF(tbl_AAPL[[#This Row],[BB_Mean]]="", "", tbl_AAPL[[#This Row],[BB_Mean]]+(BB_Width*tbl_AAPL[[#This Row],[BB_Stdev]]))</f>
        <v>122.94874050431389</v>
      </c>
      <c r="L64" s="127">
        <f ca="1">IF(tbl_AAPL[[#This Row],[BB_Mean]]="", "", tbl_AAPL[[#This Row],[BB_Mean]]-(BB_Width*tbl_AAPL[[#This Row],[BB_Stdev]]))</f>
        <v>107.77697378140039</v>
      </c>
      <c r="M64" s="50">
        <f>IF(ROW(tbl_AAPL[[#This Row],[Adj Close]])=5, 0, $F64-$F63)</f>
        <v>-9.0000000000003411E-2</v>
      </c>
      <c r="N64" s="50">
        <f>MAX(tbl_AAPL[[#This Row],[Move]],0)</f>
        <v>0</v>
      </c>
      <c r="O64" s="50">
        <f>MAX(-tbl_AAPL[[#This Row],[Move]],0)</f>
        <v>9.0000000000003411E-2</v>
      </c>
      <c r="P64" s="50">
        <f ca="1">IF(ROW($N64)-5&lt;RSI_Periods, "", AVERAGE(INDIRECT(ADDRESS(ROW($N64)-RSI_Periods +1, MATCH("Upmove", Price_Header,0))): INDIRECT(ADDRESS(ROW($N64),MATCH("Upmove", Price_Header,0)))))</f>
        <v>0.52071428571428613</v>
      </c>
      <c r="Q64" s="50">
        <f ca="1">IF(ROW($O64)-5&lt;RSI_Periods, "", AVERAGE(INDIRECT(ADDRESS(ROW($O64)-RSI_Periods +1, MATCH("Downmove", Price_Header,0))): INDIRECT(ADDRESS(ROW($O64),MATCH("Downmove", Price_Header,0)))))</f>
        <v>1.4000000000000006</v>
      </c>
      <c r="R64" s="50">
        <f ca="1">IF(tbl_AAPL[[#This Row],[Avg_Upmove]]="", "", tbl_AAPL[[#This Row],[Avg_Upmove]]/tbl_AAPL[[#This Row],[Avg_Downmove]])</f>
        <v>0.37193877551020421</v>
      </c>
      <c r="S64" s="50">
        <f ca="1">IF(ROW($N64)-4&lt;BB_Periods, "", _xlfn.STDEV.S(INDIRECT(ADDRESS(ROW($F64)-RSI_Periods +1, MATCH("Adj Close", Price_Header,0))): INDIRECT(ADDRESS(ROW($F64),MATCH("Adj Close", Price_Header,0)))))</f>
        <v>3.7929416807283753</v>
      </c>
    </row>
    <row r="65" spans="1:19" x14ac:dyDescent="0.35">
      <c r="A65" s="8">
        <v>44138</v>
      </c>
      <c r="B65" s="10">
        <v>109.66</v>
      </c>
      <c r="C65" s="10">
        <v>111.49</v>
      </c>
      <c r="D65" s="10">
        <v>108.73</v>
      </c>
      <c r="E65" s="10">
        <v>110.44</v>
      </c>
      <c r="F65" s="10">
        <v>110.25</v>
      </c>
      <c r="G65">
        <v>107624400</v>
      </c>
      <c r="H65" s="127">
        <f>IF(tbl_AAPL[[#This Row],[Date]]=$A$5, $F65, EMA_Beta*$H64 + (1-EMA_Beta)*$F65)</f>
        <v>114.02865685580736</v>
      </c>
      <c r="I65" s="50">
        <f ca="1">IF(tbl_AAPL[[#This Row],[RS]]= "", "", 100-(100/(1+tbl_AAPL[[#This Row],[RS]])))</f>
        <v>31.155602388479096</v>
      </c>
      <c r="J65" s="127">
        <f ca="1">IF(ROW($N65)-4&lt;BB_Periods, "", AVERAGE(INDIRECT(ADDRESS(ROW($F65)-RSI_Periods +1, MATCH("Adj Close", Price_Header,0))): INDIRECT(ADDRESS(ROW($F65),MATCH("Adj Close", Price_Header,0)))))</f>
        <v>114.59642857142856</v>
      </c>
      <c r="K65" s="127">
        <f ca="1">IF(tbl_AAPL[[#This Row],[BB_Mean]]="", "", tbl_AAPL[[#This Row],[BB_Mean]]+(BB_Width*tbl_AAPL[[#This Row],[BB_Stdev]]))</f>
        <v>121.90055851863748</v>
      </c>
      <c r="L65" s="127">
        <f ca="1">IF(tbl_AAPL[[#This Row],[BB_Mean]]="", "", tbl_AAPL[[#This Row],[BB_Mean]]-(BB_Width*tbl_AAPL[[#This Row],[BB_Stdev]]))</f>
        <v>107.29229862421964</v>
      </c>
      <c r="M65" s="50">
        <f>IF(ROW(tbl_AAPL[[#This Row],[Adj Close]])=5, 0, $F65-$F64)</f>
        <v>1.6700000000000017</v>
      </c>
      <c r="N65" s="50">
        <f>MAX(tbl_AAPL[[#This Row],[Move]],0)</f>
        <v>1.6700000000000017</v>
      </c>
      <c r="O65" s="50">
        <f>MAX(-tbl_AAPL[[#This Row],[Move]],0)</f>
        <v>0</v>
      </c>
      <c r="P65" s="50">
        <f ca="1">IF(ROW($N65)-5&lt;RSI_Periods, "", AVERAGE(INDIRECT(ADDRESS(ROW($N65)-RSI_Periods +1, MATCH("Upmove", Price_Header,0))): INDIRECT(ADDRESS(ROW($N65),MATCH("Upmove", Price_Header,0)))))</f>
        <v>0.6335714285714289</v>
      </c>
      <c r="Q65" s="50">
        <f ca="1">IF(ROW($O65)-5&lt;RSI_Periods, "", AVERAGE(INDIRECT(ADDRESS(ROW($O65)-RSI_Periods +1, MATCH("Downmove", Price_Header,0))): INDIRECT(ADDRESS(ROW($O65),MATCH("Downmove", Price_Header,0)))))</f>
        <v>1.4000000000000006</v>
      </c>
      <c r="R65" s="50">
        <f ca="1">IF(tbl_AAPL[[#This Row],[Avg_Upmove]]="", "", tbl_AAPL[[#This Row],[Avg_Upmove]]/tbl_AAPL[[#This Row],[Avg_Downmove]])</f>
        <v>0.45255102040816331</v>
      </c>
      <c r="S65" s="50">
        <f ca="1">IF(ROW($N65)-4&lt;BB_Periods, "", _xlfn.STDEV.S(INDIRECT(ADDRESS(ROW($F65)-RSI_Periods +1, MATCH("Adj Close", Price_Header,0))): INDIRECT(ADDRESS(ROW($F65),MATCH("Adj Close", Price_Header,0)))))</f>
        <v>3.6520649736044626</v>
      </c>
    </row>
    <row r="66" spans="1:19" x14ac:dyDescent="0.35">
      <c r="A66" s="8">
        <v>44139</v>
      </c>
      <c r="B66" s="10">
        <v>114.14</v>
      </c>
      <c r="C66" s="10">
        <v>115.59</v>
      </c>
      <c r="D66" s="10">
        <v>112.35</v>
      </c>
      <c r="E66" s="10">
        <v>114.95</v>
      </c>
      <c r="F66" s="10">
        <v>114.75</v>
      </c>
      <c r="G66">
        <v>138235500</v>
      </c>
      <c r="H66" s="127">
        <f>IF(tbl_AAPL[[#This Row],[Date]]=$A$5, $F66, EMA_Beta*$H65 + (1-EMA_Beta)*$F66)</f>
        <v>114.10079117022661</v>
      </c>
      <c r="I66" s="50">
        <f ca="1">IF(tbl_AAPL[[#This Row],[RS]]= "", "", 100-(100/(1+tbl_AAPL[[#This Row],[RS]])))</f>
        <v>41.151123422591567</v>
      </c>
      <c r="J66" s="127">
        <f ca="1">IF(ROW($N66)-4&lt;BB_Periods, "", AVERAGE(INDIRECT(ADDRESS(ROW($F66)-RSI_Periods +1, MATCH("Adj Close", Price_Header,0))): INDIRECT(ADDRESS(ROW($F66),MATCH("Adj Close", Price_Header,0)))))</f>
        <v>114.18571428571428</v>
      </c>
      <c r="K66" s="127">
        <f ca="1">IF(tbl_AAPL[[#This Row],[BB_Mean]]="", "", tbl_AAPL[[#This Row],[BB_Mean]]+(BB_Width*tbl_AAPL[[#This Row],[BB_Stdev]]))</f>
        <v>120.65928999142611</v>
      </c>
      <c r="L66" s="127">
        <f ca="1">IF(tbl_AAPL[[#This Row],[BB_Mean]]="", "", tbl_AAPL[[#This Row],[BB_Mean]]-(BB_Width*tbl_AAPL[[#This Row],[BB_Stdev]]))</f>
        <v>107.71213858000246</v>
      </c>
      <c r="M66" s="50">
        <f>IF(ROW(tbl_AAPL[[#This Row],[Adj Close]])=5, 0, $F66-$F65)</f>
        <v>4.5</v>
      </c>
      <c r="N66" s="50">
        <f>MAX(tbl_AAPL[[#This Row],[Move]],0)</f>
        <v>4.5</v>
      </c>
      <c r="O66" s="50">
        <f>MAX(-tbl_AAPL[[#This Row],[Move]],0)</f>
        <v>0</v>
      </c>
      <c r="P66" s="50">
        <f ca="1">IF(ROW($N66)-5&lt;RSI_Periods, "", AVERAGE(INDIRECT(ADDRESS(ROW($N66)-RSI_Periods +1, MATCH("Upmove", Price_Header,0))): INDIRECT(ADDRESS(ROW($N66),MATCH("Upmove", Price_Header,0)))))</f>
        <v>0.95500000000000029</v>
      </c>
      <c r="Q66" s="50">
        <f ca="1">IF(ROW($O66)-5&lt;RSI_Periods, "", AVERAGE(INDIRECT(ADDRESS(ROW($O66)-RSI_Periods +1, MATCH("Downmove", Price_Header,0))): INDIRECT(ADDRESS(ROW($O66),MATCH("Downmove", Price_Header,0)))))</f>
        <v>1.3657142857142861</v>
      </c>
      <c r="R66" s="50">
        <f ca="1">IF(tbl_AAPL[[#This Row],[Avg_Upmove]]="", "", tbl_AAPL[[#This Row],[Avg_Upmove]]/tbl_AAPL[[#This Row],[Avg_Downmove]])</f>
        <v>0.69926778242677823</v>
      </c>
      <c r="S66" s="50">
        <f ca="1">IF(ROW($N66)-4&lt;BB_Periods, "", _xlfn.STDEV.S(INDIRECT(ADDRESS(ROW($F66)-RSI_Periods +1, MATCH("Adj Close", Price_Header,0))): INDIRECT(ADDRESS(ROW($F66),MATCH("Adj Close", Price_Header,0)))))</f>
        <v>3.2367878528559144</v>
      </c>
    </row>
    <row r="67" spans="1:19" x14ac:dyDescent="0.35">
      <c r="A67" s="8">
        <v>44140</v>
      </c>
      <c r="B67" s="10">
        <v>117.95</v>
      </c>
      <c r="C67" s="10">
        <v>119.62</v>
      </c>
      <c r="D67" s="10">
        <v>116.87</v>
      </c>
      <c r="E67" s="10">
        <v>119.03</v>
      </c>
      <c r="F67" s="10">
        <v>118.82</v>
      </c>
      <c r="G67">
        <v>126387100</v>
      </c>
      <c r="H67" s="127">
        <f>IF(tbl_AAPL[[#This Row],[Date]]=$A$5, $F67, EMA_Beta*$H66 + (1-EMA_Beta)*$F67)</f>
        <v>114.57271205320394</v>
      </c>
      <c r="I67" s="50">
        <f ca="1">IF(tbl_AAPL[[#This Row],[RS]]= "", "", 100-(100/(1+tbl_AAPL[[#This Row],[RS]])))</f>
        <v>50</v>
      </c>
      <c r="J67" s="127">
        <f ca="1">IF(ROW($N67)-4&lt;BB_Periods, "", AVERAGE(INDIRECT(ADDRESS(ROW($F67)-RSI_Periods +1, MATCH("Adj Close", Price_Header,0))): INDIRECT(ADDRESS(ROW($F67),MATCH("Adj Close", Price_Header,0)))))</f>
        <v>114.18571428571428</v>
      </c>
      <c r="K67" s="127">
        <f ca="1">IF(tbl_AAPL[[#This Row],[BB_Mean]]="", "", tbl_AAPL[[#This Row],[BB_Mean]]+(BB_Width*tbl_AAPL[[#This Row],[BB_Stdev]]))</f>
        <v>120.65928999142611</v>
      </c>
      <c r="L67" s="127">
        <f ca="1">IF(tbl_AAPL[[#This Row],[BB_Mean]]="", "", tbl_AAPL[[#This Row],[BB_Mean]]-(BB_Width*tbl_AAPL[[#This Row],[BB_Stdev]]))</f>
        <v>107.71213858000246</v>
      </c>
      <c r="M67" s="50">
        <f>IF(ROW(tbl_AAPL[[#This Row],[Adj Close]])=5, 0, $F67-$F66)</f>
        <v>4.0699999999999932</v>
      </c>
      <c r="N67" s="50">
        <f>MAX(tbl_AAPL[[#This Row],[Move]],0)</f>
        <v>4.0699999999999932</v>
      </c>
      <c r="O67" s="50">
        <f>MAX(-tbl_AAPL[[#This Row],[Move]],0)</f>
        <v>0</v>
      </c>
      <c r="P67" s="50">
        <f ca="1">IF(ROW($N67)-5&lt;RSI_Periods, "", AVERAGE(INDIRECT(ADDRESS(ROW($N67)-RSI_Periods +1, MATCH("Upmove", Price_Header,0))): INDIRECT(ADDRESS(ROW($N67),MATCH("Upmove", Price_Header,0)))))</f>
        <v>1.2457142857142856</v>
      </c>
      <c r="Q67" s="50">
        <f ca="1">IF(ROW($O67)-5&lt;RSI_Periods, "", AVERAGE(INDIRECT(ADDRESS(ROW($O67)-RSI_Periods +1, MATCH("Downmove", Price_Header,0))): INDIRECT(ADDRESS(ROW($O67),MATCH("Downmove", Price_Header,0)))))</f>
        <v>1.2457142857142856</v>
      </c>
      <c r="R67" s="50">
        <f ca="1">IF(tbl_AAPL[[#This Row],[Avg_Upmove]]="", "", tbl_AAPL[[#This Row],[Avg_Upmove]]/tbl_AAPL[[#This Row],[Avg_Downmove]])</f>
        <v>1</v>
      </c>
      <c r="S67" s="50">
        <f ca="1">IF(ROW($N67)-4&lt;BB_Periods, "", _xlfn.STDEV.S(INDIRECT(ADDRESS(ROW($F67)-RSI_Periods +1, MATCH("Adj Close", Price_Header,0))): INDIRECT(ADDRESS(ROW($F67),MATCH("Adj Close", Price_Header,0)))))</f>
        <v>3.2367878528559144</v>
      </c>
    </row>
    <row r="68" spans="1:19" x14ac:dyDescent="0.35">
      <c r="A68" s="8">
        <v>44141</v>
      </c>
      <c r="B68" s="10">
        <v>118.32</v>
      </c>
      <c r="C68" s="10">
        <v>119.2</v>
      </c>
      <c r="D68" s="10">
        <v>116.13</v>
      </c>
      <c r="E68" s="10">
        <v>118.69</v>
      </c>
      <c r="F68" s="10">
        <v>118.69</v>
      </c>
      <c r="G68">
        <v>114457900</v>
      </c>
      <c r="H68" s="127">
        <f>IF(tbl_AAPL[[#This Row],[Date]]=$A$5, $F68, EMA_Beta*$H67 + (1-EMA_Beta)*$F68)</f>
        <v>114.98444084788355</v>
      </c>
      <c r="I68" s="50">
        <f ca="1">IF(tbl_AAPL[[#This Row],[RS]]= "", "", 100-(100/(1+tbl_AAPL[[#This Row],[RS]])))</f>
        <v>54.551141695339382</v>
      </c>
      <c r="J68" s="127">
        <f ca="1">IF(ROW($N68)-4&lt;BB_Periods, "", AVERAGE(INDIRECT(ADDRESS(ROW($F68)-RSI_Periods +1, MATCH("Adj Close", Price_Header,0))): INDIRECT(ADDRESS(ROW($F68),MATCH("Adj Close", Price_Header,0)))))</f>
        <v>114.39357142857143</v>
      </c>
      <c r="K68" s="127">
        <f ca="1">IF(tbl_AAPL[[#This Row],[BB_Mean]]="", "", tbl_AAPL[[#This Row],[BB_Mean]]+(BB_Width*tbl_AAPL[[#This Row],[BB_Stdev]]))</f>
        <v>121.26246052089469</v>
      </c>
      <c r="L68" s="127">
        <f ca="1">IF(tbl_AAPL[[#This Row],[BB_Mean]]="", "", tbl_AAPL[[#This Row],[BB_Mean]]-(BB_Width*tbl_AAPL[[#This Row],[BB_Stdev]]))</f>
        <v>107.52468233624818</v>
      </c>
      <c r="M68" s="50">
        <f>IF(ROW(tbl_AAPL[[#This Row],[Adj Close]])=5, 0, $F68-$F67)</f>
        <v>-0.12999999999999545</v>
      </c>
      <c r="N68" s="50">
        <f>MAX(tbl_AAPL[[#This Row],[Move]],0)</f>
        <v>0</v>
      </c>
      <c r="O68" s="50">
        <f>MAX(-tbl_AAPL[[#This Row],[Move]],0)</f>
        <v>0.12999999999999545</v>
      </c>
      <c r="P68" s="50">
        <f ca="1">IF(ROW($N68)-5&lt;RSI_Periods, "", AVERAGE(INDIRECT(ADDRESS(ROW($N68)-RSI_Periods +1, MATCH("Upmove", Price_Header,0))): INDIRECT(ADDRESS(ROW($N68),MATCH("Upmove", Price_Header,0)))))</f>
        <v>1.2457142857142856</v>
      </c>
      <c r="Q68" s="50">
        <f ca="1">IF(ROW($O68)-5&lt;RSI_Periods, "", AVERAGE(INDIRECT(ADDRESS(ROW($O68)-RSI_Periods +1, MATCH("Downmove", Price_Header,0))): INDIRECT(ADDRESS(ROW($O68),MATCH("Downmove", Price_Header,0)))))</f>
        <v>1.037857142857143</v>
      </c>
      <c r="R68" s="50">
        <f ca="1">IF(tbl_AAPL[[#This Row],[Avg_Upmove]]="", "", tbl_AAPL[[#This Row],[Avg_Upmove]]/tbl_AAPL[[#This Row],[Avg_Downmove]])</f>
        <v>1.2002752924982791</v>
      </c>
      <c r="S68" s="50">
        <f ca="1">IF(ROW($N68)-4&lt;BB_Periods, "", _xlfn.STDEV.S(INDIRECT(ADDRESS(ROW($F68)-RSI_Periods +1, MATCH("Adj Close", Price_Header,0))): INDIRECT(ADDRESS(ROW($F68),MATCH("Adj Close", Price_Header,0)))))</f>
        <v>3.4344445461616258</v>
      </c>
    </row>
    <row r="69" spans="1:19" x14ac:dyDescent="0.35">
      <c r="A69" s="8">
        <v>44144</v>
      </c>
      <c r="B69" s="10">
        <v>120.5</v>
      </c>
      <c r="C69" s="10">
        <v>121.99</v>
      </c>
      <c r="D69" s="10">
        <v>116.05</v>
      </c>
      <c r="E69" s="10">
        <v>116.32</v>
      </c>
      <c r="F69" s="10">
        <v>116.32</v>
      </c>
      <c r="G69">
        <v>154515300</v>
      </c>
      <c r="H69" s="127">
        <f>IF(tbl_AAPL[[#This Row],[Date]]=$A$5, $F69, EMA_Beta*$H68 + (1-EMA_Beta)*$F69)</f>
        <v>115.11799676309519</v>
      </c>
      <c r="I69" s="50">
        <f ca="1">IF(tbl_AAPL[[#This Row],[RS]]= "", "", 100-(100/(1+tbl_AAPL[[#This Row],[RS]])))</f>
        <v>48.491313623895138</v>
      </c>
      <c r="J69" s="127">
        <f ca="1">IF(ROW($N69)-4&lt;BB_Periods, "", AVERAGE(INDIRECT(ADDRESS(ROW($F69)-RSI_Periods +1, MATCH("Adj Close", Price_Header,0))): INDIRECT(ADDRESS(ROW($F69),MATCH("Adj Close", Price_Header,0)))))</f>
        <v>114.32285714285715</v>
      </c>
      <c r="K69" s="127">
        <f ca="1">IF(tbl_AAPL[[#This Row],[BB_Mean]]="", "", tbl_AAPL[[#This Row],[BB_Mean]]+(BB_Width*tbl_AAPL[[#This Row],[BB_Stdev]]))</f>
        <v>121.08191683427043</v>
      </c>
      <c r="L69" s="127">
        <f ca="1">IF(tbl_AAPL[[#This Row],[BB_Mean]]="", "", tbl_AAPL[[#This Row],[BB_Mean]]-(BB_Width*tbl_AAPL[[#This Row],[BB_Stdev]]))</f>
        <v>107.56379745144386</v>
      </c>
      <c r="M69" s="50">
        <f>IF(ROW(tbl_AAPL[[#This Row],[Adj Close]])=5, 0, $F69-$F68)</f>
        <v>-2.3700000000000045</v>
      </c>
      <c r="N69" s="50">
        <f>MAX(tbl_AAPL[[#This Row],[Move]],0)</f>
        <v>0</v>
      </c>
      <c r="O69" s="50">
        <f>MAX(-tbl_AAPL[[#This Row],[Move]],0)</f>
        <v>2.3700000000000045</v>
      </c>
      <c r="P69" s="50">
        <f ca="1">IF(ROW($N69)-5&lt;RSI_Periods, "", AVERAGE(INDIRECT(ADDRESS(ROW($N69)-RSI_Periods +1, MATCH("Upmove", Price_Header,0))): INDIRECT(ADDRESS(ROW($N69),MATCH("Upmove", Price_Header,0)))))</f>
        <v>1.1364285714285711</v>
      </c>
      <c r="Q69" s="50">
        <f ca="1">IF(ROW($O69)-5&lt;RSI_Periods, "", AVERAGE(INDIRECT(ADDRESS(ROW($O69)-RSI_Periods +1, MATCH("Downmove", Price_Header,0))): INDIRECT(ADDRESS(ROW($O69),MATCH("Downmove", Price_Header,0)))))</f>
        <v>1.2071428571428575</v>
      </c>
      <c r="R69" s="50">
        <f ca="1">IF(tbl_AAPL[[#This Row],[Avg_Upmove]]="", "", tbl_AAPL[[#This Row],[Avg_Upmove]]/tbl_AAPL[[#This Row],[Avg_Downmove]])</f>
        <v>0.94142011834319472</v>
      </c>
      <c r="S69" s="50">
        <f ca="1">IF(ROW($N69)-4&lt;BB_Periods, "", _xlfn.STDEV.S(INDIRECT(ADDRESS(ROW($F69)-RSI_Periods +1, MATCH("Adj Close", Price_Header,0))): INDIRECT(ADDRESS(ROW($F69),MATCH("Adj Close", Price_Header,0)))))</f>
        <v>3.3795298457066432</v>
      </c>
    </row>
    <row r="70" spans="1:19" x14ac:dyDescent="0.35">
      <c r="A70" s="8">
        <v>44145</v>
      </c>
      <c r="B70" s="10">
        <v>115.55</v>
      </c>
      <c r="C70" s="10">
        <v>117.59</v>
      </c>
      <c r="D70" s="10">
        <v>114.13</v>
      </c>
      <c r="E70" s="10">
        <v>115.97</v>
      </c>
      <c r="F70" s="10">
        <v>115.97</v>
      </c>
      <c r="G70">
        <v>138023400</v>
      </c>
      <c r="H70" s="127">
        <f>IF(tbl_AAPL[[#This Row],[Date]]=$A$5, $F70, EMA_Beta*$H69 + (1-EMA_Beta)*$F70)</f>
        <v>115.20319708678566</v>
      </c>
      <c r="I70" s="50">
        <f ca="1">IF(tbl_AAPL[[#This Row],[RS]]= "", "", 100-(100/(1+tbl_AAPL[[#This Row],[RS]])))</f>
        <v>48.923739237392368</v>
      </c>
      <c r="J70" s="127">
        <f ca="1">IF(ROW($N70)-4&lt;BB_Periods, "", AVERAGE(INDIRECT(ADDRESS(ROW($F70)-RSI_Periods +1, MATCH("Adj Close", Price_Header,0))): INDIRECT(ADDRESS(ROW($F70),MATCH("Adj Close", Price_Header,0)))))</f>
        <v>114.27285714285713</v>
      </c>
      <c r="K70" s="127">
        <f ca="1">IF(tbl_AAPL[[#This Row],[BB_Mean]]="", "", tbl_AAPL[[#This Row],[BB_Mean]]+(BB_Width*tbl_AAPL[[#This Row],[BB_Stdev]]))</f>
        <v>120.96716898120251</v>
      </c>
      <c r="L70" s="127">
        <f ca="1">IF(tbl_AAPL[[#This Row],[BB_Mean]]="", "", tbl_AAPL[[#This Row],[BB_Mean]]-(BB_Width*tbl_AAPL[[#This Row],[BB_Stdev]]))</f>
        <v>107.57854530451176</v>
      </c>
      <c r="M70" s="50">
        <f>IF(ROW(tbl_AAPL[[#This Row],[Adj Close]])=5, 0, $F70-$F69)</f>
        <v>-0.34999999999999432</v>
      </c>
      <c r="N70" s="50">
        <f>MAX(tbl_AAPL[[#This Row],[Move]],0)</f>
        <v>0</v>
      </c>
      <c r="O70" s="50">
        <f>MAX(-tbl_AAPL[[#This Row],[Move]],0)</f>
        <v>0.34999999999999432</v>
      </c>
      <c r="P70" s="50">
        <f ca="1">IF(ROW($N70)-5&lt;RSI_Periods, "", AVERAGE(INDIRECT(ADDRESS(ROW($N70)-RSI_Periods +1, MATCH("Upmove", Price_Header,0))): INDIRECT(ADDRESS(ROW($N70),MATCH("Upmove", Price_Header,0)))))</f>
        <v>1.1364285714285711</v>
      </c>
      <c r="Q70" s="50">
        <f ca="1">IF(ROW($O70)-5&lt;RSI_Periods, "", AVERAGE(INDIRECT(ADDRESS(ROW($O70)-RSI_Periods +1, MATCH("Downmove", Price_Header,0))): INDIRECT(ADDRESS(ROW($O70),MATCH("Downmove", Price_Header,0)))))</f>
        <v>1.1864285714285714</v>
      </c>
      <c r="R70" s="50">
        <f ca="1">IF(tbl_AAPL[[#This Row],[Avg_Upmove]]="", "", tbl_AAPL[[#This Row],[Avg_Upmove]]/tbl_AAPL[[#This Row],[Avg_Downmove]])</f>
        <v>0.95785671282359997</v>
      </c>
      <c r="S70" s="50">
        <f ca="1">IF(ROW($N70)-4&lt;BB_Periods, "", _xlfn.STDEV.S(INDIRECT(ADDRESS(ROW($F70)-RSI_Periods +1, MATCH("Adj Close", Price_Header,0))): INDIRECT(ADDRESS(ROW($F70),MATCH("Adj Close", Price_Header,0)))))</f>
        <v>3.3471559191726845</v>
      </c>
    </row>
    <row r="71" spans="1:19" x14ac:dyDescent="0.35">
      <c r="A71" s="8">
        <v>44146</v>
      </c>
      <c r="B71" s="10">
        <v>117.19</v>
      </c>
      <c r="C71" s="10">
        <v>119.63</v>
      </c>
      <c r="D71" s="10">
        <v>116.44</v>
      </c>
      <c r="E71" s="10">
        <v>119.49</v>
      </c>
      <c r="F71" s="10">
        <v>119.49</v>
      </c>
      <c r="G71">
        <v>112295000</v>
      </c>
      <c r="H71" s="127">
        <f>IF(tbl_AAPL[[#This Row],[Date]]=$A$5, $F71, EMA_Beta*$H70 + (1-EMA_Beta)*$F71)</f>
        <v>115.63187737810709</v>
      </c>
      <c r="I71" s="50">
        <f ca="1">IF(tbl_AAPL[[#This Row],[RS]]= "", "", 100-(100/(1+tbl_AAPL[[#This Row],[RS]])))</f>
        <v>55.641466208476515</v>
      </c>
      <c r="J71" s="127">
        <f ca="1">IF(ROW($N71)-4&lt;BB_Periods, "", AVERAGE(INDIRECT(ADDRESS(ROW($F71)-RSI_Periods +1, MATCH("Adj Close", Price_Header,0))): INDIRECT(ADDRESS(ROW($F71),MATCH("Adj Close", Price_Header,0)))))</f>
        <v>114.55428571428571</v>
      </c>
      <c r="K71" s="127">
        <f ca="1">IF(tbl_AAPL[[#This Row],[BB_Mean]]="", "", tbl_AAPL[[#This Row],[BB_Mean]]+(BB_Width*tbl_AAPL[[#This Row],[BB_Stdev]]))</f>
        <v>121.78931892046421</v>
      </c>
      <c r="L71" s="127">
        <f ca="1">IF(tbl_AAPL[[#This Row],[BB_Mean]]="", "", tbl_AAPL[[#This Row],[BB_Mean]]-(BB_Width*tbl_AAPL[[#This Row],[BB_Stdev]]))</f>
        <v>107.31925250810721</v>
      </c>
      <c r="M71" s="50">
        <f>IF(ROW(tbl_AAPL[[#This Row],[Adj Close]])=5, 0, $F71-$F70)</f>
        <v>3.519999999999996</v>
      </c>
      <c r="N71" s="50">
        <f>MAX(tbl_AAPL[[#This Row],[Move]],0)</f>
        <v>3.519999999999996</v>
      </c>
      <c r="O71" s="50">
        <f>MAX(-tbl_AAPL[[#This Row],[Move]],0)</f>
        <v>0</v>
      </c>
      <c r="P71" s="50">
        <f ca="1">IF(ROW($N71)-5&lt;RSI_Periods, "", AVERAGE(INDIRECT(ADDRESS(ROW($N71)-RSI_Periods +1, MATCH("Upmove", Price_Header,0))): INDIRECT(ADDRESS(ROW($N71),MATCH("Upmove", Price_Header,0)))))</f>
        <v>1.3878571428571422</v>
      </c>
      <c r="Q71" s="50">
        <f ca="1">IF(ROW($O71)-5&lt;RSI_Periods, "", AVERAGE(INDIRECT(ADDRESS(ROW($O71)-RSI_Periods +1, MATCH("Downmove", Price_Header,0))): INDIRECT(ADDRESS(ROW($O71),MATCH("Downmove", Price_Header,0)))))</f>
        <v>1.1064285714285711</v>
      </c>
      <c r="R71" s="50">
        <f ca="1">IF(tbl_AAPL[[#This Row],[Avg_Upmove]]="", "", tbl_AAPL[[#This Row],[Avg_Upmove]]/tbl_AAPL[[#This Row],[Avg_Downmove]])</f>
        <v>1.2543576500968365</v>
      </c>
      <c r="S71" s="50">
        <f ca="1">IF(ROW($N71)-4&lt;BB_Periods, "", _xlfn.STDEV.S(INDIRECT(ADDRESS(ROW($F71)-RSI_Periods +1, MATCH("Adj Close", Price_Header,0))): INDIRECT(ADDRESS(ROW($F71),MATCH("Adj Close", Price_Header,0)))))</f>
        <v>3.6175166030892467</v>
      </c>
    </row>
    <row r="72" spans="1:19" x14ac:dyDescent="0.35">
      <c r="A72" s="8">
        <v>44147</v>
      </c>
      <c r="B72" s="10">
        <v>119.62</v>
      </c>
      <c r="C72" s="10">
        <v>120.53</v>
      </c>
      <c r="D72" s="10">
        <v>118.57</v>
      </c>
      <c r="E72" s="10">
        <v>119.21</v>
      </c>
      <c r="F72" s="10">
        <v>119.21</v>
      </c>
      <c r="G72">
        <v>103162300</v>
      </c>
      <c r="H72" s="127">
        <f>IF(tbl_AAPL[[#This Row],[Date]]=$A$5, $F72, EMA_Beta*$H71 + (1-EMA_Beta)*$F72)</f>
        <v>115.98968964029638</v>
      </c>
      <c r="I72" s="50">
        <f ca="1">IF(tbl_AAPL[[#This Row],[RS]]= "", "", 100-(100/(1+tbl_AAPL[[#This Row],[RS]])))</f>
        <v>56.335169614380966</v>
      </c>
      <c r="J72" s="127">
        <f ca="1">IF(ROW($N72)-4&lt;BB_Periods, "", AVERAGE(INDIRECT(ADDRESS(ROW($F72)-RSI_Periods +1, MATCH("Adj Close", Price_Header,0))): INDIRECT(ADDRESS(ROW($F72),MATCH("Adj Close", Price_Header,0)))))</f>
        <v>114.86642857142859</v>
      </c>
      <c r="K72" s="127">
        <f ca="1">IF(tbl_AAPL[[#This Row],[BB_Mean]]="", "", tbl_AAPL[[#This Row],[BB_Mean]]+(BB_Width*tbl_AAPL[[#This Row],[BB_Stdev]]))</f>
        <v>122.51955305007874</v>
      </c>
      <c r="L72" s="127">
        <f ca="1">IF(tbl_AAPL[[#This Row],[BB_Mean]]="", "", tbl_AAPL[[#This Row],[BB_Mean]]-(BB_Width*tbl_AAPL[[#This Row],[BB_Stdev]]))</f>
        <v>107.21330409277843</v>
      </c>
      <c r="M72" s="50">
        <f>IF(ROW(tbl_AAPL[[#This Row],[Adj Close]])=5, 0, $F72-$F71)</f>
        <v>-0.28000000000000114</v>
      </c>
      <c r="N72" s="50">
        <f>MAX(tbl_AAPL[[#This Row],[Move]],0)</f>
        <v>0</v>
      </c>
      <c r="O72" s="50">
        <f>MAX(-tbl_AAPL[[#This Row],[Move]],0)</f>
        <v>0.28000000000000114</v>
      </c>
      <c r="P72" s="50">
        <f ca="1">IF(ROW($N72)-5&lt;RSI_Periods, "", AVERAGE(INDIRECT(ADDRESS(ROW($N72)-RSI_Periods +1, MATCH("Upmove", Price_Header,0))): INDIRECT(ADDRESS(ROW($N72),MATCH("Upmove", Price_Header,0)))))</f>
        <v>1.3878571428571422</v>
      </c>
      <c r="Q72" s="50">
        <f ca="1">IF(ROW($O72)-5&lt;RSI_Periods, "", AVERAGE(INDIRECT(ADDRESS(ROW($O72)-RSI_Periods +1, MATCH("Downmove", Price_Header,0))): INDIRECT(ADDRESS(ROW($O72),MATCH("Downmove", Price_Header,0)))))</f>
        <v>1.0757142857142858</v>
      </c>
      <c r="R72" s="50">
        <f ca="1">IF(tbl_AAPL[[#This Row],[Avg_Upmove]]="", "", tbl_AAPL[[#This Row],[Avg_Upmove]]/tbl_AAPL[[#This Row],[Avg_Downmove]])</f>
        <v>1.2901726427622835</v>
      </c>
      <c r="S72" s="50">
        <f ca="1">IF(ROW($N72)-4&lt;BB_Periods, "", _xlfn.STDEV.S(INDIRECT(ADDRESS(ROW($F72)-RSI_Periods +1, MATCH("Adj Close", Price_Header,0))): INDIRECT(ADDRESS(ROW($F72),MATCH("Adj Close", Price_Header,0)))))</f>
        <v>3.826562239325078</v>
      </c>
    </row>
    <row r="73" spans="1:19" x14ac:dyDescent="0.35">
      <c r="A73" s="8">
        <v>44148</v>
      </c>
      <c r="B73" s="10">
        <v>119.44</v>
      </c>
      <c r="C73" s="10">
        <v>119.67</v>
      </c>
      <c r="D73" s="10">
        <v>117.87</v>
      </c>
      <c r="E73" s="10">
        <v>119.26</v>
      </c>
      <c r="F73" s="10">
        <v>119.26</v>
      </c>
      <c r="G73">
        <v>81581900</v>
      </c>
      <c r="H73" s="127">
        <f>IF(tbl_AAPL[[#This Row],[Date]]=$A$5, $F73, EMA_Beta*$H72 + (1-EMA_Beta)*$F73)</f>
        <v>116.31672067626674</v>
      </c>
      <c r="I73" s="50">
        <f ca="1">IF(tbl_AAPL[[#This Row],[RS]]= "", "", 100-(100/(1+tbl_AAPL[[#This Row],[RS]])))</f>
        <v>56.385751520417053</v>
      </c>
      <c r="J73" s="127">
        <f ca="1">IF(ROW($N73)-4&lt;BB_Periods, "", AVERAGE(INDIRECT(ADDRESS(ROW($F73)-RSI_Periods +1, MATCH("Adj Close", Price_Header,0))): INDIRECT(ADDRESS(ROW($F73),MATCH("Adj Close", Price_Header,0)))))</f>
        <v>115.18142857142858</v>
      </c>
      <c r="K73" s="127">
        <f ca="1">IF(tbl_AAPL[[#This Row],[BB_Mean]]="", "", tbl_AAPL[[#This Row],[BB_Mean]]+(BB_Width*tbl_AAPL[[#This Row],[BB_Stdev]]))</f>
        <v>123.18657252205993</v>
      </c>
      <c r="L73" s="127">
        <f ca="1">IF(tbl_AAPL[[#This Row],[BB_Mean]]="", "", tbl_AAPL[[#This Row],[BB_Mean]]-(BB_Width*tbl_AAPL[[#This Row],[BB_Stdev]]))</f>
        <v>107.17628462079723</v>
      </c>
      <c r="M73" s="50">
        <f>IF(ROW(tbl_AAPL[[#This Row],[Adj Close]])=5, 0, $F73-$F72)</f>
        <v>5.0000000000011369E-2</v>
      </c>
      <c r="N73" s="50">
        <f>MAX(tbl_AAPL[[#This Row],[Move]],0)</f>
        <v>5.0000000000011369E-2</v>
      </c>
      <c r="O73" s="50">
        <f>MAX(-tbl_AAPL[[#This Row],[Move]],0)</f>
        <v>0</v>
      </c>
      <c r="P73" s="50">
        <f ca="1">IF(ROW($N73)-5&lt;RSI_Periods, "", AVERAGE(INDIRECT(ADDRESS(ROW($N73)-RSI_Periods +1, MATCH("Upmove", Price_Header,0))): INDIRECT(ADDRESS(ROW($N73),MATCH("Upmove", Price_Header,0)))))</f>
        <v>1.3907142857142867</v>
      </c>
      <c r="Q73" s="50">
        <f ca="1">IF(ROW($O73)-5&lt;RSI_Periods, "", AVERAGE(INDIRECT(ADDRESS(ROW($O73)-RSI_Periods +1, MATCH("Downmove", Price_Header,0))): INDIRECT(ADDRESS(ROW($O73),MATCH("Downmove", Price_Header,0)))))</f>
        <v>1.0757142857142858</v>
      </c>
      <c r="R73" s="50">
        <f ca="1">IF(tbl_AAPL[[#This Row],[Avg_Upmove]]="", "", tbl_AAPL[[#This Row],[Avg_Upmove]]/tbl_AAPL[[#This Row],[Avg_Downmove]])</f>
        <v>1.292828685258965</v>
      </c>
      <c r="S73" s="50">
        <f ca="1">IF(ROW($N73)-4&lt;BB_Periods, "", _xlfn.STDEV.S(INDIRECT(ADDRESS(ROW($F73)-RSI_Periods +1, MATCH("Adj Close", Price_Header,0))): INDIRECT(ADDRESS(ROW($F73),MATCH("Adj Close", Price_Header,0)))))</f>
        <v>4.0025719753156723</v>
      </c>
    </row>
    <row r="74" spans="1:19" x14ac:dyDescent="0.35">
      <c r="A74" t="s">
        <v>162</v>
      </c>
      <c r="B74" s="61"/>
      <c r="C74" s="61"/>
      <c r="D74" s="61"/>
      <c r="E74" s="61"/>
      <c r="F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>
        <f ca="1">SUBTOTAL(103,tbl_AAPL[BB_Stdev])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4"/>
  <sheetViews>
    <sheetView topLeftCell="B63" zoomScale="111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168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3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3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3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3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3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3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3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3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3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3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3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3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3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3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3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3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3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3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3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3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3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3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3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3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3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3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35">
      <c r="A45" s="8">
        <v>44110</v>
      </c>
      <c r="B45" s="48">
        <v>141.87</v>
      </c>
      <c r="C45" s="48">
        <v>142.94</v>
      </c>
      <c r="D45" s="48">
        <v>140.25</v>
      </c>
      <c r="E45" s="48">
        <v>140.63</v>
      </c>
      <c r="F45" s="48">
        <v>140.63</v>
      </c>
      <c r="G45">
        <v>7158500</v>
      </c>
      <c r="H45" s="48">
        <f>IF(tbl_WMT[[#This Row],[Date]]=$A$5, $F45, EMA_Beta*$H44 + (1-EMA_Beta)*$F45)</f>
        <v>164.07860691179755</v>
      </c>
      <c r="I45" s="50">
        <f ca="1">IF(tbl_WMT[[#This Row],[RS]]= "", "", 100-(100/(1+tbl_WMT[[#This Row],[RS]])))</f>
        <v>61.165056183673627</v>
      </c>
      <c r="J45" s="11">
        <f ca="1">IF(ROW($N45)-4&lt;BB_Periods, "", AVERAGE(INDIRECT(ADDRESS(ROW($F45)-RSI_Periods +1, MATCH("Adj Close", Price_Header,0))): INDIRECT(ADDRESS(ROW($F45),MATCH("Adj Close", Price_Header,0)))))</f>
        <v>138.402143</v>
      </c>
      <c r="K45" s="11">
        <f ca="1">IF(tbl_WMT[[#This Row],[BB_Mean]]="", "", tbl_WMT[[#This Row],[BB_Mean]]+(BB_Width*tbl_WMT[[#This Row],[BB_Stdev]]))</f>
        <v>143.12145288650208</v>
      </c>
      <c r="L45" s="11">
        <f ca="1">IF(tbl_WMT[[#This Row],[BB_Mean]]="", "", tbl_WMT[[#This Row],[BB_Mean]]-(BB_Width*tbl_WMT[[#This Row],[BB_Stdev]]))</f>
        <v>133.68283311349791</v>
      </c>
      <c r="M45" s="46">
        <f>IF(ROW(tbl_WMT[[#This Row],[Adj Close]])=5, 0, $F45-$F44)</f>
        <v>-1.1700000000000159</v>
      </c>
      <c r="N45" s="46">
        <f>MAX(tbl_WMT[[#This Row],[Move]],0)</f>
        <v>0</v>
      </c>
      <c r="O45" s="46">
        <f>MAX(-tbl_WMT[[#This Row],[Move]],0)</f>
        <v>1.1700000000000159</v>
      </c>
      <c r="P45" s="46">
        <f ca="1">IF(ROW($N45)-5&lt;RSI_Periods, "", AVERAGE(INDIRECT(ADDRESS(ROW($N45)-RSI_Periods +1, MATCH("Upmove", Price_Header,0))): INDIRECT(ADDRESS(ROW($N45),MATCH("Upmove", Price_Header,0)))))</f>
        <v>0.85500050000000272</v>
      </c>
      <c r="Q45" s="46">
        <f ca="1">IF(ROW($O45)-5&lt;RSI_Periods, "", AVERAGE(INDIRECT(ADDRESS(ROW($O45)-RSI_Periods +1, MATCH("Downmove", Price_Header,0))): INDIRECT(ADDRESS(ROW($O45),MATCH("Downmove", Price_Header,0)))))</f>
        <v>0.54285728571428904</v>
      </c>
      <c r="R45" s="46">
        <f ca="1">IF(tbl_WMT[[#This Row],[Avg_Upmove]]="", "", tbl_WMT[[#This Row],[Avg_Upmove]]/tbl_WMT[[#This Row],[Avg_Downmove]])</f>
        <v>1.5750005065788095</v>
      </c>
      <c r="S45" s="11">
        <f ca="1">IF(ROW($N45)-4&lt;BB_Periods, "", _xlfn.STDEV.S(INDIRECT(ADDRESS(ROW($F45)-RSI_Periods +1, MATCH("Adj Close", Price_Header,0))): INDIRECT(ADDRESS(ROW($F45),MATCH("Adj Close", Price_Header,0)))))</f>
        <v>2.3596549432510461</v>
      </c>
    </row>
    <row r="46" spans="1:19" x14ac:dyDescent="0.35">
      <c r="A46" s="8">
        <v>44111</v>
      </c>
      <c r="B46" s="48">
        <v>141.26</v>
      </c>
      <c r="C46" s="48">
        <v>141.55000000000001</v>
      </c>
      <c r="D46" s="48">
        <v>140.25</v>
      </c>
      <c r="E46" s="48">
        <v>140.88999999999999</v>
      </c>
      <c r="F46" s="48">
        <v>140.88999999999999</v>
      </c>
      <c r="G46">
        <v>5649700</v>
      </c>
      <c r="H46" s="48">
        <f>IF(tbl_WMT[[#This Row],[Date]]=$A$5, $F46, EMA_Beta*$H45 + (1-EMA_Beta)*$F46)</f>
        <v>161.75974622061779</v>
      </c>
      <c r="I46" s="50">
        <f ca="1">IF(tbl_WMT[[#This Row],[RS]]= "", "", 100-(100/(1+tbl_WMT[[#This Row],[RS]])))</f>
        <v>60.824735997449828</v>
      </c>
      <c r="J46" s="11">
        <f ca="1">IF(ROW($N46)-4&lt;BB_Periods, "", AVERAGE(INDIRECT(ADDRESS(ROW($F46)-RSI_Periods +1, MATCH("Adj Close", Price_Header,0))): INDIRECT(ADDRESS(ROW($F46),MATCH("Adj Close", Price_Header,0)))))</f>
        <v>138.70214285714286</v>
      </c>
      <c r="K46" s="11">
        <f ca="1">IF(tbl_WMT[[#This Row],[BB_Mean]]="", "", tbl_WMT[[#This Row],[BB_Mean]]+(BB_Width*tbl_WMT[[#This Row],[BB_Stdev]]))</f>
        <v>143.48614297658864</v>
      </c>
      <c r="L46" s="11">
        <f ca="1">IF(tbl_WMT[[#This Row],[BB_Mean]]="", "", tbl_WMT[[#This Row],[BB_Mean]]-(BB_Width*tbl_WMT[[#This Row],[BB_Stdev]]))</f>
        <v>133.91814273769708</v>
      </c>
      <c r="M46" s="46">
        <f>IF(ROW(tbl_WMT[[#This Row],[Adj Close]])=5, 0, $F46-$F45)</f>
        <v>0.25999999999999091</v>
      </c>
      <c r="N46" s="46">
        <f>MAX(tbl_WMT[[#This Row],[Move]],0)</f>
        <v>0.25999999999999091</v>
      </c>
      <c r="O46" s="46">
        <f>MAX(-tbl_WMT[[#This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0.84285714285714575</v>
      </c>
      <c r="Q46" s="46">
        <f ca="1">IF(ROW($O46)-5&lt;RSI_Periods, "", AVERAGE(INDIRECT(ADDRESS(ROW($O46)-RSI_Periods +1, MATCH("Downmove", Price_Header,0))): INDIRECT(ADDRESS(ROW($O46),MATCH("Downmove", Price_Header,0)))))</f>
        <v>0.54285728571428904</v>
      </c>
      <c r="R46" s="46">
        <f ca="1">IF(tbl_WMT[[#This Row],[Avg_Upmove]]="", "", tbl_WMT[[#This Row],[Avg_Upmove]]/tbl_WMT[[#This Row],[Avg_Downmove]])</f>
        <v>1.552631170360214</v>
      </c>
      <c r="S46" s="11">
        <f ca="1">IF(ROW($N46)-4&lt;BB_Periods, "", _xlfn.STDEV.S(INDIRECT(ADDRESS(ROW($F46)-RSI_Periods +1, MATCH("Adj Close", Price_Header,0))): INDIRECT(ADDRESS(ROW($F46),MATCH("Adj Close", Price_Header,0)))))</f>
        <v>2.3920000597228879</v>
      </c>
    </row>
    <row r="47" spans="1:19" x14ac:dyDescent="0.35">
      <c r="A47" s="8">
        <v>44112</v>
      </c>
      <c r="B47" s="48">
        <v>141.51</v>
      </c>
      <c r="C47" s="48">
        <v>142.09</v>
      </c>
      <c r="D47" s="48">
        <v>141.12</v>
      </c>
      <c r="E47" s="48">
        <v>141.36000000000001</v>
      </c>
      <c r="F47" s="48">
        <v>141.36000000000001</v>
      </c>
      <c r="G47">
        <v>4892300</v>
      </c>
      <c r="H47" s="48">
        <f>IF(tbl_WMT[[#This Row],[Date]]=$A$5, $F47, EMA_Beta*$H46 + (1-EMA_Beta)*$F47)</f>
        <v>159.71977159855601</v>
      </c>
      <c r="I47" s="50">
        <f ca="1">IF(tbl_WMT[[#This Row],[RS]]= "", "", 100-(100/(1+tbl_WMT[[#This Row],[RS]])))</f>
        <v>66.432051976177547</v>
      </c>
      <c r="J47" s="11">
        <f ca="1">IF(ROW($N47)-4&lt;BB_Periods, "", AVERAGE(INDIRECT(ADDRESS(ROW($F47)-RSI_Periods +1, MATCH("Adj Close", Price_Header,0))): INDIRECT(ADDRESS(ROW($F47),MATCH("Adj Close", Price_Header,0)))))</f>
        <v>139.13571428571427</v>
      </c>
      <c r="K47" s="11">
        <f ca="1">IF(tbl_WMT[[#This Row],[BB_Mean]]="", "", tbl_WMT[[#This Row],[BB_Mean]]+(BB_Width*tbl_WMT[[#This Row],[BB_Stdev]]))</f>
        <v>143.68193309858563</v>
      </c>
      <c r="L47" s="11">
        <f ca="1">IF(tbl_WMT[[#This Row],[BB_Mean]]="", "", tbl_WMT[[#This Row],[BB_Mean]]-(BB_Width*tbl_WMT[[#This Row],[BB_Stdev]]))</f>
        <v>134.58949547284291</v>
      </c>
      <c r="M47" s="46">
        <f>IF(ROW(tbl_WMT[[#This Row],[Adj Close]])=5, 0, $F47-$F46)</f>
        <v>0.47000000000002728</v>
      </c>
      <c r="N47" s="46">
        <f>MAX(tbl_WMT[[#This Row],[Move]],0)</f>
        <v>0.47000000000002728</v>
      </c>
      <c r="O47" s="46">
        <f>MAX(-tbl_WMT[[#This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0.87642857142857622</v>
      </c>
      <c r="Q47" s="46">
        <f ca="1">IF(ROW($O47)-5&lt;RSI_Periods, "", AVERAGE(INDIRECT(ADDRESS(ROW($O47)-RSI_Periods +1, MATCH("Downmove", Price_Header,0))): INDIRECT(ADDRESS(ROW($O47),MATCH("Downmove", Price_Header,0)))))</f>
        <v>0.44285714285714611</v>
      </c>
      <c r="R47" s="46">
        <f ca="1">IF(tbl_WMT[[#This Row],[Avg_Upmove]]="", "", tbl_WMT[[#This Row],[Avg_Upmove]]/tbl_WMT[[#This Row],[Avg_Downmove]])</f>
        <v>1.9790322580645123</v>
      </c>
      <c r="S47" s="11">
        <f ca="1">IF(ROW($N47)-4&lt;BB_Periods, "", _xlfn.STDEV.S(INDIRECT(ADDRESS(ROW($F47)-RSI_Periods +1, MATCH("Adj Close", Price_Header,0))): INDIRECT(ADDRESS(ROW($F47),MATCH("Adj Close", Price_Header,0)))))</f>
        <v>2.273109406435684</v>
      </c>
    </row>
    <row r="48" spans="1:19" x14ac:dyDescent="0.35">
      <c r="A48" s="8">
        <v>44113</v>
      </c>
      <c r="B48" s="48">
        <v>141.66</v>
      </c>
      <c r="C48" s="48">
        <v>143.34</v>
      </c>
      <c r="D48" s="48">
        <v>141.56</v>
      </c>
      <c r="E48" s="48">
        <v>142.78</v>
      </c>
      <c r="F48" s="48">
        <v>142.78</v>
      </c>
      <c r="G48">
        <v>4824800</v>
      </c>
      <c r="H48" s="48">
        <f>IF(tbl_WMT[[#This Row],[Date]]=$A$5, $F48, EMA_Beta*$H47 + (1-EMA_Beta)*$F48)</f>
        <v>158.02579443870042</v>
      </c>
      <c r="I48" s="50">
        <f ca="1">IF(tbl_WMT[[#This Row],[RS]]= "", "", 100-(100/(1+tbl_WMT[[#This Row],[RS]])))</f>
        <v>65.764770844837045</v>
      </c>
      <c r="J48" s="11">
        <f ca="1">IF(ROW($N48)-4&lt;BB_Periods, "", AVERAGE(INDIRECT(ADDRESS(ROW($F48)-RSI_Periods +1, MATCH("Adj Close", Price_Header,0))): INDIRECT(ADDRESS(ROW($F48),MATCH("Adj Close", Price_Header,0)))))</f>
        <v>139.54357142857143</v>
      </c>
      <c r="K48" s="11">
        <f ca="1">IF(tbl_WMT[[#This Row],[BB_Mean]]="", "", tbl_WMT[[#This Row],[BB_Mean]]+(BB_Width*tbl_WMT[[#This Row],[BB_Stdev]]))</f>
        <v>144.31064185384946</v>
      </c>
      <c r="L48" s="11">
        <f ca="1">IF(tbl_WMT[[#This Row],[BB_Mean]]="", "", tbl_WMT[[#This Row],[BB_Mean]]-(BB_Width*tbl_WMT[[#This Row],[BB_Stdev]]))</f>
        <v>134.77650100329339</v>
      </c>
      <c r="M48" s="46">
        <f>IF(ROW(tbl_WMT[[#This Row],[Adj Close]])=5, 0, $F48-$F47)</f>
        <v>1.4199999999999875</v>
      </c>
      <c r="N48" s="46">
        <f>MAX(tbl_WMT[[#This Row],[Move]],0)</f>
        <v>1.4199999999999875</v>
      </c>
      <c r="O48" s="46">
        <f>MAX(-tbl_WMT[[#This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0.85071428571428953</v>
      </c>
      <c r="Q48" s="46">
        <f ca="1">IF(ROW($O48)-5&lt;RSI_Periods, "", AVERAGE(INDIRECT(ADDRESS(ROW($O48)-RSI_Periods +1, MATCH("Downmove", Price_Header,0))): INDIRECT(ADDRESS(ROW($O48),MATCH("Downmove", Price_Header,0)))))</f>
        <v>0.44285714285714611</v>
      </c>
      <c r="R48" s="46">
        <f ca="1">IF(tbl_WMT[[#This Row],[Avg_Upmove]]="", "", tbl_WMT[[#This Row],[Avg_Upmove]]/tbl_WMT[[#This Row],[Avg_Downmove]])</f>
        <v>1.9209677419354783</v>
      </c>
      <c r="S48" s="11">
        <f ca="1">IF(ROW($N48)-4&lt;BB_Periods, "", _xlfn.STDEV.S(INDIRECT(ADDRESS(ROW($F48)-RSI_Periods +1, MATCH("Adj Close", Price_Header,0))): INDIRECT(ADDRESS(ROW($F48),MATCH("Adj Close", Price_Header,0)))))</f>
        <v>2.3835352126390164</v>
      </c>
    </row>
    <row r="49" spans="1:19" x14ac:dyDescent="0.35">
      <c r="A49" s="8">
        <v>44116</v>
      </c>
      <c r="B49" s="48">
        <v>143.02000000000001</v>
      </c>
      <c r="C49" s="48">
        <v>145.38999999999999</v>
      </c>
      <c r="D49" s="48">
        <v>143.02000000000001</v>
      </c>
      <c r="E49" s="48">
        <v>144.25</v>
      </c>
      <c r="F49" s="48">
        <v>144.25</v>
      </c>
      <c r="G49">
        <v>6134100</v>
      </c>
      <c r="H49" s="48">
        <f>IF(tbl_WMT[[#This Row],[Date]]=$A$5, $F49, EMA_Beta*$H48 + (1-EMA_Beta)*$F49)</f>
        <v>156.64821499483037</v>
      </c>
      <c r="I49" s="50">
        <f ca="1">IF(tbl_WMT[[#This Row],[RS]]= "", "", 100-(100/(1+tbl_WMT[[#This Row],[RS]])))</f>
        <v>66.194111232279084</v>
      </c>
      <c r="J49" s="11">
        <f ca="1">IF(ROW($N49)-4&lt;BB_Periods, "", AVERAGE(INDIRECT(ADDRESS(ROW($F49)-RSI_Periods +1, MATCH("Adj Close", Price_Header,0))): INDIRECT(ADDRESS(ROW($F49),MATCH("Adj Close", Price_Header,0)))))</f>
        <v>139.96785714285713</v>
      </c>
      <c r="K49" s="11">
        <f ca="1">IF(tbl_WMT[[#This Row],[BB_Mean]]="", "", tbl_WMT[[#This Row],[BB_Mean]]+(BB_Width*tbl_WMT[[#This Row],[BB_Stdev]]))</f>
        <v>145.28733183393433</v>
      </c>
      <c r="L49" s="11">
        <f ca="1">IF(tbl_WMT[[#This Row],[BB_Mean]]="", "", tbl_WMT[[#This Row],[BB_Mean]]-(BB_Width*tbl_WMT[[#This Row],[BB_Stdev]]))</f>
        <v>134.64838245177992</v>
      </c>
      <c r="M49" s="46">
        <f>IF(ROW(tbl_WMT[[#This Row],[Adj Close]])=5, 0, $F49-$F48)</f>
        <v>1.4699999999999989</v>
      </c>
      <c r="N49" s="46">
        <f>MAX(tbl_WMT[[#This Row],[Move]],0)</f>
        <v>1.4699999999999989</v>
      </c>
      <c r="O49" s="46">
        <f>MAX(-tbl_WMT[[#This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0.86714285714286021</v>
      </c>
      <c r="Q49" s="46">
        <f ca="1">IF(ROW($O49)-5&lt;RSI_Periods, "", AVERAGE(INDIRECT(ADDRESS(ROW($O49)-RSI_Periods +1, MATCH("Downmove", Price_Header,0))): INDIRECT(ADDRESS(ROW($O49),MATCH("Downmove", Price_Header,0)))))</f>
        <v>0.44285714285714611</v>
      </c>
      <c r="R49" s="46">
        <f ca="1">IF(tbl_WMT[[#This Row],[Avg_Upmove]]="", "", tbl_WMT[[#This Row],[Avg_Upmove]]/tbl_WMT[[#This Row],[Avg_Downmove]])</f>
        <v>1.9580645161290249</v>
      </c>
      <c r="S49" s="11">
        <f ca="1">IF(ROW($N49)-4&lt;BB_Periods, "", _xlfn.STDEV.S(INDIRECT(ADDRESS(ROW($F49)-RSI_Periods +1, MATCH("Adj Close", Price_Header,0))): INDIRECT(ADDRESS(ROW($F49),MATCH("Adj Close", Price_Header,0)))))</f>
        <v>2.6597373455386077</v>
      </c>
    </row>
    <row r="50" spans="1:19" x14ac:dyDescent="0.35">
      <c r="A50" s="8">
        <v>44117</v>
      </c>
      <c r="B50" s="48">
        <v>144.68</v>
      </c>
      <c r="C50" s="48">
        <v>146.6</v>
      </c>
      <c r="D50" s="48">
        <v>144.36000000000001</v>
      </c>
      <c r="E50" s="48">
        <v>146.22999999999999</v>
      </c>
      <c r="F50" s="48">
        <v>146.22999999999999</v>
      </c>
      <c r="G50">
        <v>7933400</v>
      </c>
      <c r="H50" s="48">
        <f>IF(tbl_WMT[[#This Row],[Date]]=$A$5, $F50, EMA_Beta*$H49 + (1-EMA_Beta)*$F50)</f>
        <v>155.60639349534733</v>
      </c>
      <c r="I50" s="50">
        <f ca="1">IF(tbl_WMT[[#This Row],[RS]]= "", "", 100-(100/(1+tbl_WMT[[#This Row],[RS]])))</f>
        <v>78.444444444444258</v>
      </c>
      <c r="J50" s="11">
        <f ca="1">IF(ROW($N50)-4&lt;BB_Periods, "", AVERAGE(INDIRECT(ADDRESS(ROW($F50)-RSI_Periods +1, MATCH("Adj Close", Price_Header,0))): INDIRECT(ADDRESS(ROW($F50),MATCH("Adj Close", Price_Header,0)))))</f>
        <v>140.69928571428574</v>
      </c>
      <c r="K50" s="11">
        <f ca="1">IF(tbl_WMT[[#This Row],[BB_Mean]]="", "", tbl_WMT[[#This Row],[BB_Mean]]+(BB_Width*tbl_WMT[[#This Row],[BB_Stdev]]))</f>
        <v>146.46031908465477</v>
      </c>
      <c r="L50" s="11">
        <f ca="1">IF(tbl_WMT[[#This Row],[BB_Mean]]="", "", tbl_WMT[[#This Row],[BB_Mean]]-(BB_Width*tbl_WMT[[#This Row],[BB_Stdev]]))</f>
        <v>134.9382523439167</v>
      </c>
      <c r="M50" s="46">
        <f>IF(ROW(tbl_WMT[[#This Row],[Adj Close]])=5, 0, $F50-$F49)</f>
        <v>1.9799999999999898</v>
      </c>
      <c r="N50" s="46">
        <f>MAX(tbl_WMT[[#This Row],[Move]],0)</f>
        <v>1.9799999999999898</v>
      </c>
      <c r="O50" s="46">
        <f>MAX(-tbl_WMT[[#This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1.0085714285714309</v>
      </c>
      <c r="Q50" s="46">
        <f ca="1">IF(ROW($O50)-5&lt;RSI_Periods, "", AVERAGE(INDIRECT(ADDRESS(ROW($O50)-RSI_Periods +1, MATCH("Downmove", Price_Header,0))): INDIRECT(ADDRESS(ROW($O50),MATCH("Downmove", Price_Header,0)))))</f>
        <v>0.27714285714286085</v>
      </c>
      <c r="R50" s="46">
        <f ca="1">IF(tbl_WMT[[#This Row],[Avg_Upmove]]="", "", tbl_WMT[[#This Row],[Avg_Upmove]]/tbl_WMT[[#This Row],[Avg_Downmove]])</f>
        <v>3.6391752577319183</v>
      </c>
      <c r="S50" s="11">
        <f ca="1">IF(ROW($N50)-4&lt;BB_Periods, "", _xlfn.STDEV.S(INDIRECT(ADDRESS(ROW($F50)-RSI_Periods +1, MATCH("Adj Close", Price_Header,0))): INDIRECT(ADDRESS(ROW($F50),MATCH("Adj Close", Price_Header,0)))))</f>
        <v>2.8805166851845141</v>
      </c>
    </row>
    <row r="51" spans="1:19" x14ac:dyDescent="0.35">
      <c r="A51" s="8">
        <v>44118</v>
      </c>
      <c r="B51" s="48">
        <v>146.4</v>
      </c>
      <c r="C51" s="48">
        <v>146.53</v>
      </c>
      <c r="D51" s="48">
        <v>143.76</v>
      </c>
      <c r="E51" s="48">
        <v>143.94</v>
      </c>
      <c r="F51" s="48">
        <v>143.94</v>
      </c>
      <c r="G51">
        <v>6574100</v>
      </c>
      <c r="H51" s="48">
        <f>IF(tbl_WMT[[#This Row],[Date]]=$A$5, $F51, EMA_Beta*$H50 + (1-EMA_Beta)*$F51)</f>
        <v>154.4397541458126</v>
      </c>
      <c r="I51" s="50">
        <f ca="1">IF(tbl_WMT[[#This Row],[RS]]= "", "", 100-(100/(1+tbl_WMT[[#This Row],[RS]])))</f>
        <v>68.48825331971392</v>
      </c>
      <c r="J51" s="11">
        <f ca="1">IF(ROW($N51)-4&lt;BB_Periods, "", AVERAGE(INDIRECT(ADDRESS(ROW($F51)-RSI_Periods +1, MATCH("Adj Close", Price_Header,0))): INDIRECT(ADDRESS(ROW($F51),MATCH("Adj Close", Price_Header,0)))))</f>
        <v>141.21642857142857</v>
      </c>
      <c r="K51" s="11">
        <f ca="1">IF(tbl_WMT[[#This Row],[BB_Mean]]="", "", tbl_WMT[[#This Row],[BB_Mean]]+(BB_Width*tbl_WMT[[#This Row],[BB_Stdev]]))</f>
        <v>146.72529475181511</v>
      </c>
      <c r="L51" s="11">
        <f ca="1">IF(tbl_WMT[[#This Row],[BB_Mean]]="", "", tbl_WMT[[#This Row],[BB_Mean]]-(BB_Width*tbl_WMT[[#This Row],[BB_Stdev]]))</f>
        <v>135.70756239104202</v>
      </c>
      <c r="M51" s="46">
        <f>IF(ROW(tbl_WMT[[#This Row],[Adj Close]])=5, 0, $F51-$F50)</f>
        <v>-2.289999999999992</v>
      </c>
      <c r="N51" s="46">
        <f>MAX(tbl_WMT[[#This Row],[Move]],0)</f>
        <v>0</v>
      </c>
      <c r="O51" s="46">
        <f>MAX(-tbl_WMT[[#This Row],[Move]],0)</f>
        <v>2.289999999999992</v>
      </c>
      <c r="P51" s="46">
        <f ca="1">IF(ROW($N51)-5&lt;RSI_Periods, "", AVERAGE(INDIRECT(ADDRESS(ROW($N51)-RSI_Periods +1, MATCH("Upmove", Price_Header,0))): INDIRECT(ADDRESS(ROW($N51),MATCH("Upmove", Price_Header,0)))))</f>
        <v>0.95785714285714663</v>
      </c>
      <c r="Q51" s="46">
        <f ca="1">IF(ROW($O51)-5&lt;RSI_Periods, "", AVERAGE(INDIRECT(ADDRESS(ROW($O51)-RSI_Periods +1, MATCH("Downmove", Price_Header,0))): INDIRECT(ADDRESS(ROW($O51),MATCH("Downmove", Price_Header,0)))))</f>
        <v>0.44071428571428889</v>
      </c>
      <c r="R51" s="46">
        <f ca="1">IF(tbl_WMT[[#This Row],[Avg_Upmove]]="", "", tbl_WMT[[#This Row],[Avg_Upmove]]/tbl_WMT[[#This Row],[Avg_Downmove]])</f>
        <v>2.1734197730956168</v>
      </c>
      <c r="S51" s="11">
        <f ca="1">IF(ROW($N51)-4&lt;BB_Periods, "", _xlfn.STDEV.S(INDIRECT(ADDRESS(ROW($F51)-RSI_Periods +1, MATCH("Adj Close", Price_Header,0))): INDIRECT(ADDRESS(ROW($F51),MATCH("Adj Close", Price_Header,0)))))</f>
        <v>2.7544330901932703</v>
      </c>
    </row>
    <row r="52" spans="1:19" x14ac:dyDescent="0.35">
      <c r="A52" s="8">
        <v>44119</v>
      </c>
      <c r="B52" s="48">
        <v>143.09</v>
      </c>
      <c r="C52" s="48">
        <v>144.96</v>
      </c>
      <c r="D52" s="48">
        <v>142.84</v>
      </c>
      <c r="E52" s="48">
        <v>144.53</v>
      </c>
      <c r="F52" s="48">
        <v>144.53</v>
      </c>
      <c r="G52">
        <v>4564200</v>
      </c>
      <c r="H52" s="48">
        <f>IF(tbl_WMT[[#This Row],[Date]]=$A$5, $F52, EMA_Beta*$H51 + (1-EMA_Beta)*$F52)</f>
        <v>153.44877873123136</v>
      </c>
      <c r="I52" s="50">
        <f ca="1">IF(tbl_WMT[[#This Row],[RS]]= "", "", 100-(100/(1+tbl_WMT[[#This Row],[RS]])))</f>
        <v>68.520408163265216</v>
      </c>
      <c r="J52" s="11">
        <f ca="1">IF(ROW($N52)-4&lt;BB_Periods, "", AVERAGE(INDIRECT(ADDRESS(ROW($F52)-RSI_Periods +1, MATCH("Adj Close", Price_Header,0))): INDIRECT(ADDRESS(ROW($F52),MATCH("Adj Close", Price_Header,0)))))</f>
        <v>141.73499999999999</v>
      </c>
      <c r="K52" s="11">
        <f ca="1">IF(tbl_WMT[[#This Row],[BB_Mean]]="", "", tbl_WMT[[#This Row],[BB_Mean]]+(BB_Width*tbl_WMT[[#This Row],[BB_Stdev]]))</f>
        <v>147.00524594375747</v>
      </c>
      <c r="L52" s="11">
        <f ca="1">IF(tbl_WMT[[#This Row],[BB_Mean]]="", "", tbl_WMT[[#This Row],[BB_Mean]]-(BB_Width*tbl_WMT[[#This Row],[BB_Stdev]]))</f>
        <v>136.4647540562425</v>
      </c>
      <c r="M52" s="46">
        <f>IF(ROW(tbl_WMT[[#This Row],[Adj Close]])=5, 0, $F52-$F51)</f>
        <v>0.59000000000000341</v>
      </c>
      <c r="N52" s="46">
        <f>MAX(tbl_WMT[[#This Row],[Move]],0)</f>
        <v>0.59000000000000341</v>
      </c>
      <c r="O52" s="46">
        <f>MAX(-tbl_WMT[[#This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0.95928571428571685</v>
      </c>
      <c r="Q52" s="46">
        <f ca="1">IF(ROW($O52)-5&lt;RSI_Periods, "", AVERAGE(INDIRECT(ADDRESS(ROW($O52)-RSI_Periods +1, MATCH("Downmove", Price_Header,0))): INDIRECT(ADDRESS(ROW($O52),MATCH("Downmove", Price_Header,0)))))</f>
        <v>0.44071428571428889</v>
      </c>
      <c r="R52" s="46">
        <f ca="1">IF(tbl_WMT[[#This Row],[Avg_Upmove]]="", "", tbl_WMT[[#This Row],[Avg_Upmove]]/tbl_WMT[[#This Row],[Avg_Downmove]])</f>
        <v>2.1766612641815137</v>
      </c>
      <c r="S52" s="11">
        <f ca="1">IF(ROW($N52)-4&lt;BB_Periods, "", _xlfn.STDEV.S(INDIRECT(ADDRESS(ROW($F52)-RSI_Periods +1, MATCH("Adj Close", Price_Header,0))): INDIRECT(ADDRESS(ROW($F52),MATCH("Adj Close", Price_Header,0)))))</f>
        <v>2.6351229718787481</v>
      </c>
    </row>
    <row r="53" spans="1:19" x14ac:dyDescent="0.35">
      <c r="A53" s="8">
        <v>44120</v>
      </c>
      <c r="B53" s="48">
        <v>145.4</v>
      </c>
      <c r="C53" s="48">
        <v>146.15</v>
      </c>
      <c r="D53" s="48">
        <v>144.47</v>
      </c>
      <c r="E53" s="48">
        <v>144.71</v>
      </c>
      <c r="F53" s="48">
        <v>144.71</v>
      </c>
      <c r="G53">
        <v>5645000</v>
      </c>
      <c r="H53" s="48">
        <f>IF(tbl_WMT[[#This Row],[Date]]=$A$5, $F53, EMA_Beta*$H52 + (1-EMA_Beta)*$F53)</f>
        <v>152.57490085810824</v>
      </c>
      <c r="I53" s="50">
        <f ca="1">IF(tbl_WMT[[#This Row],[RS]]= "", "", 100-(100/(1+tbl_WMT[[#This Row],[RS]])))</f>
        <v>68.876518218623431</v>
      </c>
      <c r="J53" s="11">
        <f ca="1">IF(ROW($N53)-4&lt;BB_Periods, "", AVERAGE(INDIRECT(ADDRESS(ROW($F53)-RSI_Periods +1, MATCH("Adj Close", Price_Header,0))): INDIRECT(ADDRESS(ROW($F53),MATCH("Adj Close", Price_Header,0)))))</f>
        <v>142.26785714285714</v>
      </c>
      <c r="K53" s="11">
        <f ca="1">IF(tbl_WMT[[#This Row],[BB_Mean]]="", "", tbl_WMT[[#This Row],[BB_Mean]]+(BB_Width*tbl_WMT[[#This Row],[BB_Stdev]]))</f>
        <v>147.07268278491216</v>
      </c>
      <c r="L53" s="11">
        <f ca="1">IF(tbl_WMT[[#This Row],[BB_Mean]]="", "", tbl_WMT[[#This Row],[BB_Mean]]-(BB_Width*tbl_WMT[[#This Row],[BB_Stdev]]))</f>
        <v>137.46303150080212</v>
      </c>
      <c r="M53" s="46">
        <f>IF(ROW(tbl_WMT[[#This Row],[Adj Close]])=5, 0, $F53-$F52)</f>
        <v>0.18000000000000682</v>
      </c>
      <c r="N53" s="46">
        <f>MAX(tbl_WMT[[#This Row],[Move]],0)</f>
        <v>0.18000000000000682</v>
      </c>
      <c r="O53" s="46">
        <f>MAX(-tbl_WMT[[#This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0.9721428571428602</v>
      </c>
      <c r="Q53" s="46">
        <f ca="1">IF(ROW($O53)-5&lt;RSI_Periods, "", AVERAGE(INDIRECT(ADDRESS(ROW($O53)-RSI_Periods +1, MATCH("Downmove", Price_Header,0))): INDIRECT(ADDRESS(ROW($O53),MATCH("Downmove", Price_Header,0)))))</f>
        <v>0.43928571428571672</v>
      </c>
      <c r="R53" s="46">
        <f ca="1">IF(tbl_WMT[[#This Row],[Avg_Upmove]]="", "", tbl_WMT[[#This Row],[Avg_Upmove]]/tbl_WMT[[#This Row],[Avg_Downmove]])</f>
        <v>2.2130081300812954</v>
      </c>
      <c r="S53" s="11">
        <f ca="1">IF(ROW($N53)-4&lt;BB_Periods, "", _xlfn.STDEV.S(INDIRECT(ADDRESS(ROW($F53)-RSI_Periods +1, MATCH("Adj Close", Price_Header,0))): INDIRECT(ADDRESS(ROW($F53),MATCH("Adj Close", Price_Header,0)))))</f>
        <v>2.4024128210275131</v>
      </c>
    </row>
    <row r="54" spans="1:19" x14ac:dyDescent="0.35">
      <c r="A54" s="8">
        <v>44123</v>
      </c>
      <c r="B54" s="48">
        <v>145.1</v>
      </c>
      <c r="C54" s="48">
        <v>145.44</v>
      </c>
      <c r="D54" s="48">
        <v>142.76</v>
      </c>
      <c r="E54" s="48">
        <v>143.29</v>
      </c>
      <c r="F54" s="48">
        <v>143.29</v>
      </c>
      <c r="G54">
        <v>3462378</v>
      </c>
      <c r="H54" s="48">
        <f>IF(tbl_WMT[[#This Row],[Date]]=$A$5, $F54, EMA_Beta*$H53 + (1-EMA_Beta)*$F54)</f>
        <v>151.64641077229743</v>
      </c>
      <c r="I54" s="50">
        <f ca="1">IF(tbl_WMT[[#This Row],[RS]]= "", "", 100-(100/(1+tbl_WMT[[#This Row],[RS]])))</f>
        <v>64.594209776933994</v>
      </c>
      <c r="J54" s="11">
        <f ca="1">IF(ROW($N54)-4&lt;BB_Periods, "", AVERAGE(INDIRECT(ADDRESS(ROW($F54)-RSI_Periods +1, MATCH("Adj Close", Price_Header,0))): INDIRECT(ADDRESS(ROW($F54),MATCH("Adj Close", Price_Header,0)))))</f>
        <v>142.70714285714286</v>
      </c>
      <c r="K54" s="11">
        <f ca="1">IF(tbl_WMT[[#This Row],[BB_Mean]]="", "", tbl_WMT[[#This Row],[BB_Mean]]+(BB_Width*tbl_WMT[[#This Row],[BB_Stdev]]))</f>
        <v>146.51316584564555</v>
      </c>
      <c r="L54" s="11">
        <f ca="1">IF(tbl_WMT[[#This Row],[BB_Mean]]="", "", tbl_WMT[[#This Row],[BB_Mean]]-(BB_Width*tbl_WMT[[#This Row],[BB_Stdev]]))</f>
        <v>138.90111986864017</v>
      </c>
      <c r="M54" s="46">
        <f>IF(ROW(tbl_WMT[[#This Row],[Adj Close]])=5, 0, $F54-$F53)</f>
        <v>-1.4200000000000159</v>
      </c>
      <c r="N54" s="46">
        <f>MAX(tbl_WMT[[#This Row],[Move]],0)</f>
        <v>0</v>
      </c>
      <c r="O54" s="46">
        <f>MAX(-tbl_WMT[[#This Row],[Move]],0)</f>
        <v>1.4200000000000159</v>
      </c>
      <c r="P54" s="46">
        <f ca="1">IF(ROW($N54)-5&lt;RSI_Periods, "", AVERAGE(INDIRECT(ADDRESS(ROW($N54)-RSI_Periods +1, MATCH("Upmove", Price_Header,0))): INDIRECT(ADDRESS(ROW($N54),MATCH("Upmove", Price_Header,0)))))</f>
        <v>0.9721428571428602</v>
      </c>
      <c r="Q54" s="46">
        <f ca="1">IF(ROW($O54)-5&lt;RSI_Periods, "", AVERAGE(INDIRECT(ADDRESS(ROW($O54)-RSI_Periods +1, MATCH("Downmove", Price_Header,0))): INDIRECT(ADDRESS(ROW($O54),MATCH("Downmove", Price_Header,0)))))</f>
        <v>0.53285714285714547</v>
      </c>
      <c r="R54" s="46">
        <f ca="1">IF(tbl_WMT[[#This Row],[Avg_Upmove]]="", "", tbl_WMT[[#This Row],[Avg_Upmove]]/tbl_WMT[[#This Row],[Avg_Downmove]])</f>
        <v>1.8243967828418199</v>
      </c>
      <c r="S54" s="11">
        <f ca="1">IF(ROW($N54)-4&lt;BB_Periods, "", _xlfn.STDEV.S(INDIRECT(ADDRESS(ROW($F54)-RSI_Periods +1, MATCH("Adj Close", Price_Header,0))): INDIRECT(ADDRESS(ROW($F54),MATCH("Adj Close", Price_Header,0)))))</f>
        <v>1.9030114942513474</v>
      </c>
    </row>
    <row r="55" spans="1:19" x14ac:dyDescent="0.35">
      <c r="A55" s="8">
        <v>44124</v>
      </c>
      <c r="B55" s="48">
        <v>141.11000000000001</v>
      </c>
      <c r="C55" s="48">
        <v>145.53</v>
      </c>
      <c r="D55" s="48">
        <v>143.62</v>
      </c>
      <c r="E55" s="48">
        <v>143.9</v>
      </c>
      <c r="F55" s="48">
        <v>143.9</v>
      </c>
      <c r="G55">
        <v>4841000</v>
      </c>
      <c r="H55" s="48">
        <f>IF(tbl_WMT[[#This Row],[Date]]=$A$5, $F55, EMA_Beta*$H54 + (1-EMA_Beta)*$F55)</f>
        <v>150.87176969506768</v>
      </c>
      <c r="I55" s="50">
        <f ca="1">IF(tbl_WMT[[#This Row],[RS]]= "", "", 100-(100/(1+tbl_WMT[[#This Row],[RS]])))</f>
        <v>60.549973558963487</v>
      </c>
      <c r="J55" s="11">
        <f ca="1">IF(ROW($N55)-4&lt;BB_Periods, "", AVERAGE(INDIRECT(ADDRESS(ROW($F55)-RSI_Periods +1, MATCH("Adj Close", Price_Header,0))): INDIRECT(ADDRESS(ROW($F55),MATCH("Adj Close", Price_Header,0)))))</f>
        <v>142.99214285714285</v>
      </c>
      <c r="K55" s="11">
        <f ca="1">IF(tbl_WMT[[#This Row],[BB_Mean]]="", "", tbl_WMT[[#This Row],[BB_Mean]]+(BB_Width*tbl_WMT[[#This Row],[BB_Stdev]]))</f>
        <v>146.48017230807204</v>
      </c>
      <c r="L55" s="11">
        <f ca="1">IF(tbl_WMT[[#This Row],[BB_Mean]]="", "", tbl_WMT[[#This Row],[BB_Mean]]-(BB_Width*tbl_WMT[[#This Row],[BB_Stdev]]))</f>
        <v>139.50411340621366</v>
      </c>
      <c r="M55" s="46">
        <f>IF(ROW(tbl_WMT[[#This Row],[Adj Close]])=5, 0, $F55-$F54)</f>
        <v>0.61000000000001364</v>
      </c>
      <c r="N55" s="46">
        <f>MAX(tbl_WMT[[#This Row],[Move]],0)</f>
        <v>0.61000000000001364</v>
      </c>
      <c r="O55" s="46">
        <f>MAX(-tbl_WMT[[#This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0.81785714285714606</v>
      </c>
      <c r="Q55" s="46">
        <f ca="1">IF(ROW($O55)-5&lt;RSI_Periods, "", AVERAGE(INDIRECT(ADDRESS(ROW($O55)-RSI_Periods +1, MATCH("Downmove", Price_Header,0))): INDIRECT(ADDRESS(ROW($O55),MATCH("Downmove", Price_Header,0)))))</f>
        <v>0.53285714285714547</v>
      </c>
      <c r="R55" s="46">
        <f ca="1">IF(tbl_WMT[[#This Row],[Avg_Upmove]]="", "", tbl_WMT[[#This Row],[Avg_Upmove]]/tbl_WMT[[#This Row],[Avg_Downmove]])</f>
        <v>1.5348525469168885</v>
      </c>
      <c r="S55" s="11">
        <f ca="1">IF(ROW($N55)-4&lt;BB_Periods, "", _xlfn.STDEV.S(INDIRECT(ADDRESS(ROW($F55)-RSI_Periods +1, MATCH("Adj Close", Price_Header,0))): INDIRECT(ADDRESS(ROW($F55),MATCH("Adj Close", Price_Header,0)))))</f>
        <v>1.7440147254645988</v>
      </c>
    </row>
    <row r="56" spans="1:19" x14ac:dyDescent="0.35">
      <c r="A56" s="8">
        <v>44125</v>
      </c>
      <c r="B56" s="48">
        <v>143.84</v>
      </c>
      <c r="C56" s="48">
        <v>145.72999999999999</v>
      </c>
      <c r="D56" s="48">
        <v>143.84</v>
      </c>
      <c r="E56" s="48">
        <v>144.4</v>
      </c>
      <c r="F56" s="48">
        <v>144.4</v>
      </c>
      <c r="G56">
        <v>4371400</v>
      </c>
      <c r="H56" s="48">
        <f>IF(tbl_WMT[[#This Row],[Date]]=$A$5, $F56, EMA_Beta*$H55 + (1-EMA_Beta)*$F56)</f>
        <v>150.22459272556091</v>
      </c>
      <c r="I56" s="50">
        <f ca="1">IF(tbl_WMT[[#This Row],[RS]]= "", "", 100-(100/(1+tbl_WMT[[#This Row],[RS]])))</f>
        <v>54.064039408866954</v>
      </c>
      <c r="J56" s="11">
        <f ca="1">IF(ROW($N56)-4&lt;BB_Periods, "", AVERAGE(INDIRECT(ADDRESS(ROW($F56)-RSI_Periods +1, MATCH("Adj Close", Price_Header,0))): INDIRECT(ADDRESS(ROW($F56),MATCH("Adj Close", Price_Header,0)))))</f>
        <v>143.08642857142857</v>
      </c>
      <c r="K56" s="11">
        <f ca="1">IF(tbl_WMT[[#This Row],[BB_Mean]]="", "", tbl_WMT[[#This Row],[BB_Mean]]+(BB_Width*tbl_WMT[[#This Row],[BB_Stdev]]))</f>
        <v>146.65511811451648</v>
      </c>
      <c r="L56" s="11">
        <f ca="1">IF(tbl_WMT[[#This Row],[BB_Mean]]="", "", tbl_WMT[[#This Row],[BB_Mean]]-(BB_Width*tbl_WMT[[#This Row],[BB_Stdev]]))</f>
        <v>139.51773902834066</v>
      </c>
      <c r="M56" s="46">
        <f>IF(ROW(tbl_WMT[[#This Row],[Adj Close]])=5, 0, $F56-$F55)</f>
        <v>0.5</v>
      </c>
      <c r="N56" s="46">
        <f>MAX(tbl_WMT[[#This Row],[Move]],0)</f>
        <v>0.5</v>
      </c>
      <c r="O56" s="46">
        <f>MAX(-tbl_WMT[[#This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0.62714285714285922</v>
      </c>
      <c r="Q56" s="46">
        <f ca="1">IF(ROW($O56)-5&lt;RSI_Periods, "", AVERAGE(INDIRECT(ADDRESS(ROW($O56)-RSI_Periods +1, MATCH("Downmove", Price_Header,0))): INDIRECT(ADDRESS(ROW($O56),MATCH("Downmove", Price_Header,0)))))</f>
        <v>0.53285714285714547</v>
      </c>
      <c r="R56" s="46">
        <f ca="1">IF(tbl_WMT[[#This Row],[Avg_Upmove]]="", "", tbl_WMT[[#This Row],[Avg_Upmove]]/tbl_WMT[[#This Row],[Avg_Downmove]])</f>
        <v>1.1769436997319016</v>
      </c>
      <c r="S56" s="11">
        <f ca="1">IF(ROW($N56)-4&lt;BB_Periods, "", _xlfn.STDEV.S(INDIRECT(ADDRESS(ROW($F56)-RSI_Periods +1, MATCH("Adj Close", Price_Header,0))): INDIRECT(ADDRESS(ROW($F56),MATCH("Adj Close", Price_Header,0)))))</f>
        <v>1.7843447715439587</v>
      </c>
    </row>
    <row r="57" spans="1:19" x14ac:dyDescent="0.35">
      <c r="A57" s="8">
        <v>44126</v>
      </c>
      <c r="B57" s="48">
        <v>144.19</v>
      </c>
      <c r="C57" s="48">
        <v>144.56</v>
      </c>
      <c r="D57" s="48">
        <v>142.69</v>
      </c>
      <c r="E57" s="48">
        <v>143.55000000000001</v>
      </c>
      <c r="F57" s="48">
        <v>143.55000000000001</v>
      </c>
      <c r="G57">
        <v>4448000</v>
      </c>
      <c r="H57" s="48">
        <f>IF(tbl_WMT[[#This Row],[Date]]=$A$5, $F57, EMA_Beta*$H56 + (1-EMA_Beta)*$F57)</f>
        <v>149.55713345300481</v>
      </c>
      <c r="I57" s="50">
        <f ca="1">IF(tbl_WMT[[#This Row],[RS]]= "", "", 100-(100/(1+tbl_WMT[[#This Row],[RS]])))</f>
        <v>60.509993108201243</v>
      </c>
      <c r="J57" s="11">
        <f ca="1">IF(ROW($N57)-4&lt;BB_Periods, "", AVERAGE(INDIRECT(ADDRESS(ROW($F57)-RSI_Periods +1, MATCH("Adj Close", Price_Header,0))): INDIRECT(ADDRESS(ROW($F57),MATCH("Adj Close", Price_Header,0)))))</f>
        <v>143.30428571428573</v>
      </c>
      <c r="K57" s="11">
        <f ca="1">IF(tbl_WMT[[#This Row],[BB_Mean]]="", "", tbl_WMT[[#This Row],[BB_Mean]]+(BB_Width*tbl_WMT[[#This Row],[BB_Stdev]]))</f>
        <v>146.55064902193857</v>
      </c>
      <c r="L57" s="11">
        <f ca="1">IF(tbl_WMT[[#This Row],[BB_Mean]]="", "", tbl_WMT[[#This Row],[BB_Mean]]-(BB_Width*tbl_WMT[[#This Row],[BB_Stdev]]))</f>
        <v>140.05792240663288</v>
      </c>
      <c r="M57" s="46">
        <f>IF(ROW(tbl_WMT[[#This Row],[Adj Close]])=5, 0, $F57-$F56)</f>
        <v>-0.84999999999999432</v>
      </c>
      <c r="N57" s="46">
        <f>MAX(tbl_WMT[[#This Row],[Move]],0)</f>
        <v>0</v>
      </c>
      <c r="O57" s="46">
        <f>MAX(-tbl_WMT[[#This Row],[Move]],0)</f>
        <v>0.84999999999999432</v>
      </c>
      <c r="P57" s="46">
        <f ca="1">IF(ROW($N57)-5&lt;RSI_Periods, "", AVERAGE(INDIRECT(ADDRESS(ROW($N57)-RSI_Periods +1, MATCH("Upmove", Price_Header,0))): INDIRECT(ADDRESS(ROW($N57),MATCH("Upmove", Price_Header,0)))))</f>
        <v>0.62714285714285922</v>
      </c>
      <c r="Q57" s="46">
        <f ca="1">IF(ROW($O57)-5&lt;RSI_Periods, "", AVERAGE(INDIRECT(ADDRESS(ROW($O57)-RSI_Periods +1, MATCH("Downmove", Price_Header,0))): INDIRECT(ADDRESS(ROW($O57),MATCH("Downmove", Price_Header,0)))))</f>
        <v>0.40928571428571558</v>
      </c>
      <c r="R57" s="46">
        <f ca="1">IF(tbl_WMT[[#This Row],[Avg_Upmove]]="", "", tbl_WMT[[#This Row],[Avg_Upmove]]/tbl_WMT[[#This Row],[Avg_Downmove]])</f>
        <v>1.5322862129144854</v>
      </c>
      <c r="S57" s="11">
        <f ca="1">IF(ROW($N57)-4&lt;BB_Periods, "", _xlfn.STDEV.S(INDIRECT(ADDRESS(ROW($F57)-RSI_Periods +1, MATCH("Adj Close", Price_Header,0))): INDIRECT(ADDRESS(ROW($F57),MATCH("Adj Close", Price_Header,0)))))</f>
        <v>1.6231816538264228</v>
      </c>
    </row>
    <row r="58" spans="1:19" x14ac:dyDescent="0.35">
      <c r="A58" s="8">
        <v>44127</v>
      </c>
      <c r="B58" s="48">
        <v>143.97</v>
      </c>
      <c r="C58" s="48">
        <v>144.13999999999999</v>
      </c>
      <c r="D58" s="48">
        <v>142.85</v>
      </c>
      <c r="E58" s="48">
        <v>143.85</v>
      </c>
      <c r="F58" s="48">
        <v>143.85</v>
      </c>
      <c r="G58">
        <v>3513500</v>
      </c>
      <c r="H58" s="48">
        <f>IF(tbl_WMT[[#This Row],[Date]]=$A$5, $F58, EMA_Beta*$H57 + (1-EMA_Beta)*$F58)</f>
        <v>148.98642010770433</v>
      </c>
      <c r="I58" s="50">
        <f ca="1">IF(tbl_WMT[[#This Row],[RS]]= "", "", 100-(100/(1+tbl_WMT[[#This Row],[RS]])))</f>
        <v>57.586972612879272</v>
      </c>
      <c r="J58" s="11">
        <f ca="1">IF(ROW($N58)-4&lt;BB_Periods, "", AVERAGE(INDIRECT(ADDRESS(ROW($F58)-RSI_Periods +1, MATCH("Adj Close", Price_Header,0))): INDIRECT(ADDRESS(ROW($F58),MATCH("Adj Close", Price_Header,0)))))</f>
        <v>143.45071428571427</v>
      </c>
      <c r="K58" s="11">
        <f ca="1">IF(tbl_WMT[[#This Row],[BB_Mean]]="", "", tbl_WMT[[#This Row],[BB_Mean]]+(BB_Width*tbl_WMT[[#This Row],[BB_Stdev]]))</f>
        <v>146.587890520049</v>
      </c>
      <c r="L58" s="11">
        <f ca="1">IF(tbl_WMT[[#This Row],[BB_Mean]]="", "", tbl_WMT[[#This Row],[BB_Mean]]-(BB_Width*tbl_WMT[[#This Row],[BB_Stdev]]))</f>
        <v>140.31353805137954</v>
      </c>
      <c r="M58" s="46">
        <f>IF(ROW(tbl_WMT[[#This Row],[Adj Close]])=5, 0, $F58-$F57)</f>
        <v>0.29999999999998295</v>
      </c>
      <c r="N58" s="46">
        <f>MAX(tbl_WMT[[#This Row],[Move]],0)</f>
        <v>0.29999999999998295</v>
      </c>
      <c r="O58" s="46">
        <f>MAX(-tbl_WMT[[#This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0.55571428571428583</v>
      </c>
      <c r="Q58" s="46">
        <f ca="1">IF(ROW($O58)-5&lt;RSI_Periods, "", AVERAGE(INDIRECT(ADDRESS(ROW($O58)-RSI_Periods +1, MATCH("Downmove", Price_Header,0))): INDIRECT(ADDRESS(ROW($O58),MATCH("Downmove", Price_Header,0)))))</f>
        <v>0.40928571428571558</v>
      </c>
      <c r="R58" s="46">
        <f ca="1">IF(tbl_WMT[[#This Row],[Avg_Upmove]]="", "", tbl_WMT[[#This Row],[Avg_Upmove]]/tbl_WMT[[#This Row],[Avg_Downmove]])</f>
        <v>1.3577661431064532</v>
      </c>
      <c r="S58" s="11">
        <f ca="1">IF(ROW($N58)-4&lt;BB_Periods, "", _xlfn.STDEV.S(INDIRECT(ADDRESS(ROW($F58)-RSI_Periods +1, MATCH("Adj Close", Price_Header,0))): INDIRECT(ADDRESS(ROW($F58),MATCH("Adj Close", Price_Header,0)))))</f>
        <v>1.5685881171673723</v>
      </c>
    </row>
    <row r="59" spans="1:19" x14ac:dyDescent="0.35">
      <c r="A59" s="8">
        <v>44130</v>
      </c>
      <c r="B59" s="48">
        <v>142.84</v>
      </c>
      <c r="C59" s="48">
        <v>143.12</v>
      </c>
      <c r="D59" s="48">
        <v>140.94</v>
      </c>
      <c r="E59" s="48">
        <v>142.16</v>
      </c>
      <c r="F59" s="48">
        <v>142.16</v>
      </c>
      <c r="G59">
        <v>5370600</v>
      </c>
      <c r="H59" s="48">
        <f>IF(tbl_WMT[[#This Row],[Date]]=$A$5, $F59, EMA_Beta*$H58 + (1-EMA_Beta)*$F59)</f>
        <v>148.30377809693391</v>
      </c>
      <c r="I59" s="50">
        <f ca="1">IF(tbl_WMT[[#This Row],[RS]]= "", "", 100-(100/(1+tbl_WMT[[#This Row],[RS]])))</f>
        <v>55.452601568068424</v>
      </c>
      <c r="J59" s="11">
        <f ca="1">IF(ROW($N59)-4&lt;BB_Periods, "", AVERAGE(INDIRECT(ADDRESS(ROW($F59)-RSI_Periods +1, MATCH("Adj Close", Price_Header,0))): INDIRECT(ADDRESS(ROW($F59),MATCH("Adj Close", Price_Header,0)))))</f>
        <v>143.56</v>
      </c>
      <c r="K59" s="11">
        <f ca="1">IF(tbl_WMT[[#This Row],[BB_Mean]]="", "", tbl_WMT[[#This Row],[BB_Mean]]+(BB_Width*tbl_WMT[[#This Row],[BB_Stdev]]))</f>
        <v>146.36265807898366</v>
      </c>
      <c r="L59" s="11">
        <f ca="1">IF(tbl_WMT[[#This Row],[BB_Mean]]="", "", tbl_WMT[[#This Row],[BB_Mean]]-(BB_Width*tbl_WMT[[#This Row],[BB_Stdev]]))</f>
        <v>140.75734192101635</v>
      </c>
      <c r="M59" s="46">
        <f>IF(ROW(tbl_WMT[[#This Row],[Adj Close]])=5, 0, $F59-$F58)</f>
        <v>-1.6899999999999977</v>
      </c>
      <c r="N59" s="46">
        <f>MAX(tbl_WMT[[#This Row],[Move]],0)</f>
        <v>0</v>
      </c>
      <c r="O59" s="46">
        <f>MAX(-tbl_WMT[[#This Row],[Move]],0)</f>
        <v>1.6899999999999977</v>
      </c>
      <c r="P59" s="46">
        <f ca="1">IF(ROW($N59)-5&lt;RSI_Periods, "", AVERAGE(INDIRECT(ADDRESS(ROW($N59)-RSI_Periods +1, MATCH("Upmove", Price_Header,0))): INDIRECT(ADDRESS(ROW($N59),MATCH("Upmove", Price_Header,0)))))</f>
        <v>0.55571428571428583</v>
      </c>
      <c r="Q59" s="46">
        <f ca="1">IF(ROW($O59)-5&lt;RSI_Periods, "", AVERAGE(INDIRECT(ADDRESS(ROW($O59)-RSI_Periods +1, MATCH("Downmove", Price_Header,0))): INDIRECT(ADDRESS(ROW($O59),MATCH("Downmove", Price_Header,0)))))</f>
        <v>0.44642857142857145</v>
      </c>
      <c r="R59" s="46">
        <f ca="1">IF(tbl_WMT[[#This Row],[Avg_Upmove]]="", "", tbl_WMT[[#This Row],[Avg_Upmove]]/tbl_WMT[[#This Row],[Avg_Downmove]])</f>
        <v>1.2448000000000001</v>
      </c>
      <c r="S59" s="11">
        <f ca="1">IF(ROW($N59)-4&lt;BB_Periods, "", _xlfn.STDEV.S(INDIRECT(ADDRESS(ROW($F59)-RSI_Periods +1, MATCH("Adj Close", Price_Header,0))): INDIRECT(ADDRESS(ROW($F59),MATCH("Adj Close", Price_Header,0)))))</f>
        <v>1.4013290394918234</v>
      </c>
    </row>
    <row r="60" spans="1:19" x14ac:dyDescent="0.35">
      <c r="A60" s="8">
        <v>44131</v>
      </c>
      <c r="B60" s="48">
        <v>142.05000000000001</v>
      </c>
      <c r="C60" s="48">
        <v>143.69999999999999</v>
      </c>
      <c r="D60" s="48">
        <v>141.97</v>
      </c>
      <c r="E60" s="48">
        <v>142.87</v>
      </c>
      <c r="F60" s="48">
        <v>142.87</v>
      </c>
      <c r="G60">
        <v>3943700</v>
      </c>
      <c r="H60" s="48">
        <f>IF(tbl_WMT[[#This Row],[Date]]=$A$5, $F60, EMA_Beta*$H59 + (1-EMA_Beta)*$F60)</f>
        <v>147.76040028724054</v>
      </c>
      <c r="I60" s="50">
        <f ca="1">IF(tbl_WMT[[#This Row],[RS]]= "", "", 100-(100/(1+tbl_WMT[[#This Row],[RS]])))</f>
        <v>56.837016574585689</v>
      </c>
      <c r="J60" s="11">
        <f ca="1">IF(ROW($N60)-4&lt;BB_Periods, "", AVERAGE(INDIRECT(ADDRESS(ROW($F60)-RSI_Periods +1, MATCH("Adj Close", Price_Header,0))): INDIRECT(ADDRESS(ROW($F60),MATCH("Adj Close", Price_Header,0)))))</f>
        <v>143.70142857142858</v>
      </c>
      <c r="K60" s="11">
        <f ca="1">IF(tbl_WMT[[#This Row],[BB_Mean]]="", "", tbl_WMT[[#This Row],[BB_Mean]]+(BB_Width*tbl_WMT[[#This Row],[BB_Stdev]]))</f>
        <v>146.09343908263338</v>
      </c>
      <c r="L60" s="11">
        <f ca="1">IF(tbl_WMT[[#This Row],[BB_Mean]]="", "", tbl_WMT[[#This Row],[BB_Mean]]-(BB_Width*tbl_WMT[[#This Row],[BB_Stdev]]))</f>
        <v>141.30941806022378</v>
      </c>
      <c r="M60" s="46">
        <f>IF(ROW(tbl_WMT[[#This Row],[Adj Close]])=5, 0, $F60-$F59)</f>
        <v>0.71000000000000796</v>
      </c>
      <c r="N60" s="46">
        <f>MAX(tbl_WMT[[#This Row],[Move]],0)</f>
        <v>0.71000000000000796</v>
      </c>
      <c r="O60" s="46">
        <f>MAX(-tbl_WMT[[#This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0.58785714285714419</v>
      </c>
      <c r="Q60" s="46">
        <f ca="1">IF(ROW($O60)-5&lt;RSI_Periods, "", AVERAGE(INDIRECT(ADDRESS(ROW($O60)-RSI_Periods +1, MATCH("Downmove", Price_Header,0))): INDIRECT(ADDRESS(ROW($O60),MATCH("Downmove", Price_Header,0)))))</f>
        <v>0.44642857142857145</v>
      </c>
      <c r="R60" s="46">
        <f ca="1">IF(tbl_WMT[[#This Row],[Avg_Upmove]]="", "", tbl_WMT[[#This Row],[Avg_Upmove]]/tbl_WMT[[#This Row],[Avg_Downmove]])</f>
        <v>1.3168000000000029</v>
      </c>
      <c r="S60" s="11">
        <f ca="1">IF(ROW($N60)-4&lt;BB_Periods, "", _xlfn.STDEV.S(INDIRECT(ADDRESS(ROW($F60)-RSI_Periods +1, MATCH("Adj Close", Price_Header,0))): INDIRECT(ADDRESS(ROW($F60),MATCH("Adj Close", Price_Header,0)))))</f>
        <v>1.1960052556024012</v>
      </c>
    </row>
    <row r="61" spans="1:19" x14ac:dyDescent="0.35">
      <c r="A61" s="8">
        <v>44132</v>
      </c>
      <c r="B61" s="48">
        <v>140.96</v>
      </c>
      <c r="C61" s="48">
        <v>142.13</v>
      </c>
      <c r="D61" s="48">
        <v>139.88</v>
      </c>
      <c r="E61" s="48">
        <v>140.04</v>
      </c>
      <c r="F61" s="48">
        <v>140.04</v>
      </c>
      <c r="G61">
        <v>5616400</v>
      </c>
      <c r="H61" s="48">
        <f>IF(tbl_WMT[[#This Row],[Date]]=$A$5, $F61, EMA_Beta*$H60 + (1-EMA_Beta)*$F61)</f>
        <v>146.98836025851648</v>
      </c>
      <c r="I61" s="50">
        <f ca="1">IF(tbl_WMT[[#This Row],[RS]]= "", "", 100-(100/(1+tbl_WMT[[#This Row],[RS]])))</f>
        <v>46.080760095011811</v>
      </c>
      <c r="J61" s="11">
        <f ca="1">IF(ROW($N61)-4&lt;BB_Periods, "", AVERAGE(INDIRECT(ADDRESS(ROW($F61)-RSI_Periods +1, MATCH("Adj Close", Price_Header,0))): INDIRECT(ADDRESS(ROW($F61),MATCH("Adj Close", Price_Header,0)))))</f>
        <v>143.60714285714286</v>
      </c>
      <c r="K61" s="11">
        <f ca="1">IF(tbl_WMT[[#This Row],[BB_Mean]]="", "", tbl_WMT[[#This Row],[BB_Mean]]+(BB_Width*tbl_WMT[[#This Row],[BB_Stdev]]))</f>
        <v>146.45696799155081</v>
      </c>
      <c r="L61" s="11">
        <f ca="1">IF(tbl_WMT[[#This Row],[BB_Mean]]="", "", tbl_WMT[[#This Row],[BB_Mean]]-(BB_Width*tbl_WMT[[#This Row],[BB_Stdev]]))</f>
        <v>140.75731772273491</v>
      </c>
      <c r="M61" s="46">
        <f>IF(ROW(tbl_WMT[[#This Row],[Adj Close]])=5, 0, $F61-$F60)</f>
        <v>-2.8300000000000125</v>
      </c>
      <c r="N61" s="46">
        <f>MAX(tbl_WMT[[#This Row],[Move]],0)</f>
        <v>0</v>
      </c>
      <c r="O61" s="46">
        <f>MAX(-tbl_WMT[[#This Row],[Move]],0)</f>
        <v>2.8300000000000125</v>
      </c>
      <c r="P61" s="46">
        <f ca="1">IF(ROW($N61)-5&lt;RSI_Periods, "", AVERAGE(INDIRECT(ADDRESS(ROW($N61)-RSI_Periods +1, MATCH("Upmove", Price_Header,0))): INDIRECT(ADDRESS(ROW($N61),MATCH("Upmove", Price_Header,0)))))</f>
        <v>0.5542857142857136</v>
      </c>
      <c r="Q61" s="46">
        <f ca="1">IF(ROW($O61)-5&lt;RSI_Periods, "", AVERAGE(INDIRECT(ADDRESS(ROW($O61)-RSI_Periods +1, MATCH("Downmove", Price_Header,0))): INDIRECT(ADDRESS(ROW($O61),MATCH("Downmove", Price_Header,0)))))</f>
        <v>0.64857142857142946</v>
      </c>
      <c r="R61" s="46">
        <f ca="1">IF(tbl_WMT[[#This Row],[Avg_Upmove]]="", "", tbl_WMT[[#This Row],[Avg_Upmove]]/tbl_WMT[[#This Row],[Avg_Downmove]])</f>
        <v>0.85462555066079071</v>
      </c>
      <c r="S61" s="11">
        <f ca="1">IF(ROW($N61)-4&lt;BB_Periods, "", _xlfn.STDEV.S(INDIRECT(ADDRESS(ROW($F61)-RSI_Periods +1, MATCH("Adj Close", Price_Header,0))): INDIRECT(ADDRESS(ROW($F61),MATCH("Adj Close", Price_Header,0)))))</f>
        <v>1.4249125672039766</v>
      </c>
    </row>
    <row r="62" spans="1:19" x14ac:dyDescent="0.35">
      <c r="A62" s="8">
        <v>44133</v>
      </c>
      <c r="B62" s="48">
        <v>140</v>
      </c>
      <c r="C62" s="48">
        <v>141.11000000000001</v>
      </c>
      <c r="D62" s="48">
        <v>138.69999999999999</v>
      </c>
      <c r="E62" s="48">
        <v>139.91999999999999</v>
      </c>
      <c r="F62" s="48">
        <v>139.91999999999999</v>
      </c>
      <c r="G62">
        <v>5051300</v>
      </c>
      <c r="H62" s="48">
        <f>IF(tbl_WMT[[#This Row],[Date]]=$A$5, $F62, EMA_Beta*$H61 + (1-EMA_Beta)*$F62)</f>
        <v>146.28152423266482</v>
      </c>
      <c r="I62" s="50">
        <f ca="1">IF(tbl_WMT[[#This Row],[RS]]= "", "", 100-(100/(1+tbl_WMT[[#This Row],[RS]])))</f>
        <v>40.797940797940761</v>
      </c>
      <c r="J62" s="11">
        <f ca="1">IF(ROW($N62)-4&lt;BB_Periods, "", AVERAGE(INDIRECT(ADDRESS(ROW($F62)-RSI_Periods +1, MATCH("Adj Close", Price_Header,0))): INDIRECT(ADDRESS(ROW($F62),MATCH("Adj Close", Price_Header,0)))))</f>
        <v>143.40285714285713</v>
      </c>
      <c r="K62" s="11">
        <f ca="1">IF(tbl_WMT[[#This Row],[BB_Mean]]="", "", tbl_WMT[[#This Row],[BB_Mean]]+(BB_Width*tbl_WMT[[#This Row],[BB_Stdev]]))</f>
        <v>146.85456734168659</v>
      </c>
      <c r="L62" s="11">
        <f ca="1">IF(tbl_WMT[[#This Row],[BB_Mean]]="", "", tbl_WMT[[#This Row],[BB_Mean]]-(BB_Width*tbl_WMT[[#This Row],[BB_Stdev]]))</f>
        <v>139.95114694402767</v>
      </c>
      <c r="M62" s="46">
        <f>IF(ROW(tbl_WMT[[#This Row],[Adj Close]])=5, 0, $F62-$F61)</f>
        <v>-0.12000000000000455</v>
      </c>
      <c r="N62" s="46">
        <f>MAX(tbl_WMT[[#This Row],[Move]],0)</f>
        <v>0</v>
      </c>
      <c r="O62" s="46">
        <f>MAX(-tbl_WMT[[#This Row],[Move]],0)</f>
        <v>0.12000000000000455</v>
      </c>
      <c r="P62" s="46">
        <f ca="1">IF(ROW($N62)-5&lt;RSI_Periods, "", AVERAGE(INDIRECT(ADDRESS(ROW($N62)-RSI_Periods +1, MATCH("Upmove", Price_Header,0))): INDIRECT(ADDRESS(ROW($N62),MATCH("Upmove", Price_Header,0)))))</f>
        <v>0.45285714285714312</v>
      </c>
      <c r="Q62" s="46">
        <f ca="1">IF(ROW($O62)-5&lt;RSI_Periods, "", AVERAGE(INDIRECT(ADDRESS(ROW($O62)-RSI_Periods +1, MATCH("Downmove", Price_Header,0))): INDIRECT(ADDRESS(ROW($O62),MATCH("Downmove", Price_Header,0)))))</f>
        <v>0.65714285714285836</v>
      </c>
      <c r="R62" s="46">
        <f ca="1">IF(tbl_WMT[[#This Row],[Avg_Upmove]]="", "", tbl_WMT[[#This Row],[Avg_Upmove]]/tbl_WMT[[#This Row],[Avg_Downmove]])</f>
        <v>0.68913043478260783</v>
      </c>
      <c r="S62" s="11">
        <f ca="1">IF(ROW($N62)-4&lt;BB_Periods, "", _xlfn.STDEV.S(INDIRECT(ADDRESS(ROW($F62)-RSI_Periods +1, MATCH("Adj Close", Price_Header,0))): INDIRECT(ADDRESS(ROW($F62),MATCH("Adj Close", Price_Header,0)))))</f>
        <v>1.7258550994147319</v>
      </c>
    </row>
    <row r="63" spans="1:19" x14ac:dyDescent="0.35">
      <c r="A63" s="8">
        <v>44134</v>
      </c>
      <c r="B63" s="48">
        <v>139.18</v>
      </c>
      <c r="C63" s="48">
        <v>140.09</v>
      </c>
      <c r="D63" s="48">
        <v>137.37</v>
      </c>
      <c r="E63" s="48">
        <v>138.75</v>
      </c>
      <c r="F63" s="48">
        <v>138.75</v>
      </c>
      <c r="G63">
        <v>6200600</v>
      </c>
      <c r="H63" s="48">
        <f>IF(tbl_WMT[[#This Row],[Date]]=$A$5, $F63, EMA_Beta*$H62 + (1-EMA_Beta)*$F63)</f>
        <v>145.52837180939835</v>
      </c>
      <c r="I63" s="50">
        <f ca="1">IF(tbl_WMT[[#This Row],[RS]]= "", "", 100-(100/(1+tbl_WMT[[#This Row],[RS]])))</f>
        <v>31.955380577427832</v>
      </c>
      <c r="J63" s="11">
        <f ca="1">IF(ROW($N63)-4&lt;BB_Periods, "", AVERAGE(INDIRECT(ADDRESS(ROW($F63)-RSI_Periods +1, MATCH("Adj Close", Price_Header,0))): INDIRECT(ADDRESS(ROW($F63),MATCH("Adj Close", Price_Header,0)))))</f>
        <v>143.01</v>
      </c>
      <c r="K63" s="11">
        <f ca="1">IF(tbl_WMT[[#This Row],[BB_Mean]]="", "", tbl_WMT[[#This Row],[BB_Mean]]+(BB_Width*tbl_WMT[[#This Row],[BB_Stdev]]))</f>
        <v>147.21593719547826</v>
      </c>
      <c r="L63" s="11">
        <f ca="1">IF(tbl_WMT[[#This Row],[BB_Mean]]="", "", tbl_WMT[[#This Row],[BB_Mean]]-(BB_Width*tbl_WMT[[#This Row],[BB_Stdev]]))</f>
        <v>138.80406280452172</v>
      </c>
      <c r="M63" s="46">
        <f>IF(ROW(tbl_WMT[[#This Row],[Adj Close]])=5, 0, $F63-$F62)</f>
        <v>-1.1699999999999875</v>
      </c>
      <c r="N63" s="46">
        <f>MAX(tbl_WMT[[#This Row],[Move]],0)</f>
        <v>0</v>
      </c>
      <c r="O63" s="46">
        <f>MAX(-tbl_WMT[[#This Row],[Move]],0)</f>
        <v>1.1699999999999875</v>
      </c>
      <c r="P63" s="46">
        <f ca="1">IF(ROW($N63)-5&lt;RSI_Periods, "", AVERAGE(INDIRECT(ADDRESS(ROW($N63)-RSI_Periods +1, MATCH("Upmove", Price_Header,0))): INDIRECT(ADDRESS(ROW($N63),MATCH("Upmove", Price_Header,0)))))</f>
        <v>0.3478571428571432</v>
      </c>
      <c r="Q63" s="46">
        <f ca="1">IF(ROW($O63)-5&lt;RSI_Periods, "", AVERAGE(INDIRECT(ADDRESS(ROW($O63)-RSI_Periods +1, MATCH("Downmove", Price_Header,0))): INDIRECT(ADDRESS(ROW($O63),MATCH("Downmove", Price_Header,0)))))</f>
        <v>0.74071428571428599</v>
      </c>
      <c r="R63" s="46">
        <f ca="1">IF(tbl_WMT[[#This Row],[Avg_Upmove]]="", "", tbl_WMT[[#This Row],[Avg_Upmove]]/tbl_WMT[[#This Row],[Avg_Downmove]])</f>
        <v>0.46962391513982671</v>
      </c>
      <c r="S63" s="11">
        <f ca="1">IF(ROW($N63)-4&lt;BB_Periods, "", _xlfn.STDEV.S(INDIRECT(ADDRESS(ROW($F63)-RSI_Periods +1, MATCH("Adj Close", Price_Header,0))): INDIRECT(ADDRESS(ROW($F63),MATCH("Adj Close", Price_Header,0)))))</f>
        <v>2.1029685977391415</v>
      </c>
    </row>
    <row r="64" spans="1:19" x14ac:dyDescent="0.35">
      <c r="A64" s="8">
        <v>44137</v>
      </c>
      <c r="B64" s="48">
        <v>140.59</v>
      </c>
      <c r="C64" s="48">
        <v>140.81</v>
      </c>
      <c r="D64" s="48">
        <v>139.03</v>
      </c>
      <c r="E64" s="48">
        <v>140.4</v>
      </c>
      <c r="F64" s="48">
        <v>140.4</v>
      </c>
      <c r="G64">
        <v>5525200</v>
      </c>
      <c r="H64" s="48">
        <f>IF(tbl_WMT[[#This Row],[Date]]=$A$5, $F64, EMA_Beta*$H63 + (1-EMA_Beta)*$F64)</f>
        <v>145.01553462845851</v>
      </c>
      <c r="I64" s="50">
        <f ca="1">IF(tbl_WMT[[#This Row],[RS]]= "", "", 100-(100/(1+tbl_WMT[[#This Row],[RS]])))</f>
        <v>30.449362843729133</v>
      </c>
      <c r="J64" s="11">
        <f ca="1">IF(ROW($N64)-4&lt;BB_Periods, "", AVERAGE(INDIRECT(ADDRESS(ROW($F64)-RSI_Periods +1, MATCH("Adj Close", Price_Header,0))): INDIRECT(ADDRESS(ROW($F64),MATCH("Adj Close", Price_Header,0)))))</f>
        <v>142.59357142857144</v>
      </c>
      <c r="K64" s="11">
        <f ca="1">IF(tbl_WMT[[#This Row],[BB_Mean]]="", "", tbl_WMT[[#This Row],[BB_Mean]]+(BB_Width*tbl_WMT[[#This Row],[BB_Stdev]]))</f>
        <v>146.57460807086107</v>
      </c>
      <c r="L64" s="11">
        <f ca="1">IF(tbl_WMT[[#This Row],[BB_Mean]]="", "", tbl_WMT[[#This Row],[BB_Mean]]-(BB_Width*tbl_WMT[[#This Row],[BB_Stdev]]))</f>
        <v>138.6125347862818</v>
      </c>
      <c r="M64" s="46">
        <f>IF(ROW(tbl_WMT[[#This Row],[Adj Close]])=5, 0, $F64-$F63)</f>
        <v>1.6500000000000057</v>
      </c>
      <c r="N64" s="46">
        <f>MAX(tbl_WMT[[#This Row],[Move]],0)</f>
        <v>1.6500000000000057</v>
      </c>
      <c r="O64" s="46">
        <f>MAX(-tbl_WMT[[#This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0.32428571428571573</v>
      </c>
      <c r="Q64" s="46">
        <f ca="1">IF(ROW($O64)-5&lt;RSI_Periods, "", AVERAGE(INDIRECT(ADDRESS(ROW($O64)-RSI_Periods +1, MATCH("Downmove", Price_Header,0))): INDIRECT(ADDRESS(ROW($O64),MATCH("Downmove", Price_Header,0)))))</f>
        <v>0.74071428571428599</v>
      </c>
      <c r="R64" s="46">
        <f ca="1">IF(tbl_WMT[[#This Row],[Avg_Upmove]]="", "", tbl_WMT[[#This Row],[Avg_Upmove]]/tbl_WMT[[#This Row],[Avg_Downmove]])</f>
        <v>0.4378013500482178</v>
      </c>
      <c r="S64" s="11">
        <f ca="1">IF(ROW($N64)-4&lt;BB_Periods, "", _xlfn.STDEV.S(INDIRECT(ADDRESS(ROW($F64)-RSI_Periods +1, MATCH("Adj Close", Price_Header,0))): INDIRECT(ADDRESS(ROW($F64),MATCH("Adj Close", Price_Header,0)))))</f>
        <v>1.9905183211448214</v>
      </c>
    </row>
    <row r="65" spans="1:19" x14ac:dyDescent="0.35">
      <c r="A65" s="8">
        <v>44138</v>
      </c>
      <c r="B65" s="48">
        <v>141.65</v>
      </c>
      <c r="C65" s="48">
        <v>144.16</v>
      </c>
      <c r="D65" s="48">
        <v>141.57</v>
      </c>
      <c r="E65" s="48">
        <v>142.78</v>
      </c>
      <c r="F65" s="48">
        <v>142.78</v>
      </c>
      <c r="G65">
        <v>5137700</v>
      </c>
      <c r="H65" s="48">
        <f>IF(tbl_WMT[[#This Row],[Date]]=$A$5, $F65, EMA_Beta*$H64 + (1-EMA_Beta)*$F65)</f>
        <v>144.79198116561267</v>
      </c>
      <c r="I65" s="50">
        <f ca="1">IF(tbl_WMT[[#This Row],[RS]]= "", "", 100-(100/(1+tbl_WMT[[#This Row],[RS]])))</f>
        <v>46.133333333333354</v>
      </c>
      <c r="J65" s="11">
        <f ca="1">IF(ROW($N65)-4&lt;BB_Periods, "", AVERAGE(INDIRECT(ADDRESS(ROW($F65)-RSI_Periods +1, MATCH("Adj Close", Price_Header,0))): INDIRECT(ADDRESS(ROW($F65),MATCH("Adj Close", Price_Header,0)))))</f>
        <v>142.51071428571427</v>
      </c>
      <c r="K65" s="11">
        <f ca="1">IF(tbl_WMT[[#This Row],[BB_Mean]]="", "", tbl_WMT[[#This Row],[BB_Mean]]+(BB_Width*tbl_WMT[[#This Row],[BB_Stdev]]))</f>
        <v>146.41865070190212</v>
      </c>
      <c r="L65" s="11">
        <f ca="1">IF(tbl_WMT[[#This Row],[BB_Mean]]="", "", tbl_WMT[[#This Row],[BB_Mean]]-(BB_Width*tbl_WMT[[#This Row],[BB_Stdev]]))</f>
        <v>138.60277786952642</v>
      </c>
      <c r="M65" s="46">
        <f>IF(ROW(tbl_WMT[[#This Row],[Adj Close]])=5, 0, $F65-$F64)</f>
        <v>2.3799999999999955</v>
      </c>
      <c r="N65" s="46">
        <f>MAX(tbl_WMT[[#This Row],[Move]],0)</f>
        <v>2.3799999999999955</v>
      </c>
      <c r="O65" s="46">
        <f>MAX(-tbl_WMT[[#This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0.49428571428571544</v>
      </c>
      <c r="Q65" s="46">
        <f ca="1">IF(ROW($O65)-5&lt;RSI_Periods, "", AVERAGE(INDIRECT(ADDRESS(ROW($O65)-RSI_Periods +1, MATCH("Downmove", Price_Header,0))): INDIRECT(ADDRESS(ROW($O65),MATCH("Downmove", Price_Header,0)))))</f>
        <v>0.57714285714285807</v>
      </c>
      <c r="R65" s="46">
        <f ca="1">IF(tbl_WMT[[#This Row],[Avg_Upmove]]="", "", tbl_WMT[[#This Row],[Avg_Upmove]]/tbl_WMT[[#This Row],[Avg_Downmove]])</f>
        <v>0.85643564356435709</v>
      </c>
      <c r="S65" s="11">
        <f ca="1">IF(ROW($N65)-4&lt;BB_Periods, "", _xlfn.STDEV.S(INDIRECT(ADDRESS(ROW($F65)-RSI_Periods +1, MATCH("Adj Close", Price_Header,0))): INDIRECT(ADDRESS(ROW($F65),MATCH("Adj Close", Price_Header,0)))))</f>
        <v>1.9539682080939214</v>
      </c>
    </row>
    <row r="66" spans="1:19" x14ac:dyDescent="0.35">
      <c r="A66" s="8">
        <v>44139</v>
      </c>
      <c r="B66" s="48">
        <v>141.57</v>
      </c>
      <c r="C66" s="48">
        <v>144.38999999999999</v>
      </c>
      <c r="D66" s="48">
        <v>141.34</v>
      </c>
      <c r="E66" s="48">
        <v>141.96</v>
      </c>
      <c r="F66" s="48">
        <v>141.96</v>
      </c>
      <c r="G66">
        <v>5975800</v>
      </c>
      <c r="H66" s="48">
        <f>IF(tbl_WMT[[#This Row],[Date]]=$A$5, $F66, EMA_Beta*$H65 + (1-EMA_Beta)*$F66)</f>
        <v>144.5087830490514</v>
      </c>
      <c r="I66" s="50">
        <f ca="1">IF(tbl_WMT[[#This Row],[RS]]= "", "", 100-(100/(1+tbl_WMT[[#This Row],[RS]])))</f>
        <v>41.562705187130696</v>
      </c>
      <c r="J66" s="11">
        <f ca="1">IF(ROW($N66)-4&lt;BB_Periods, "", AVERAGE(INDIRECT(ADDRESS(ROW($F66)-RSI_Periods +1, MATCH("Adj Close", Price_Header,0))): INDIRECT(ADDRESS(ROW($F66),MATCH("Adj Close", Price_Header,0)))))</f>
        <v>142.32714285714286</v>
      </c>
      <c r="K66" s="11">
        <f ca="1">IF(tbl_WMT[[#This Row],[BB_Mean]]="", "", tbl_WMT[[#This Row],[BB_Mean]]+(BB_Width*tbl_WMT[[#This Row],[BB_Stdev]]))</f>
        <v>146.06418758482587</v>
      </c>
      <c r="L66" s="11">
        <f ca="1">IF(tbl_WMT[[#This Row],[BB_Mean]]="", "", tbl_WMT[[#This Row],[BB_Mean]]-(BB_Width*tbl_WMT[[#This Row],[BB_Stdev]]))</f>
        <v>138.59009812945985</v>
      </c>
      <c r="M66" s="46">
        <f>IF(ROW(tbl_WMT[[#This Row],[Adj Close]])=5, 0, $F66-$F65)</f>
        <v>-0.81999999999999318</v>
      </c>
      <c r="N66" s="46">
        <f>MAX(tbl_WMT[[#This Row],[Move]],0)</f>
        <v>0</v>
      </c>
      <c r="O66" s="46">
        <f>MAX(-tbl_WMT[[#This Row],[Move]],0)</f>
        <v>0.81999999999999318</v>
      </c>
      <c r="P66" s="46">
        <f ca="1">IF(ROW($N66)-5&lt;RSI_Periods, "", AVERAGE(INDIRECT(ADDRESS(ROW($N66)-RSI_Periods +1, MATCH("Upmove", Price_Header,0))): INDIRECT(ADDRESS(ROW($N66),MATCH("Upmove", Price_Header,0)))))</f>
        <v>0.45214285714285801</v>
      </c>
      <c r="Q66" s="46">
        <f ca="1">IF(ROW($O66)-5&lt;RSI_Periods, "", AVERAGE(INDIRECT(ADDRESS(ROW($O66)-RSI_Periods +1, MATCH("Downmove", Price_Header,0))): INDIRECT(ADDRESS(ROW($O66),MATCH("Downmove", Price_Header,0)))))</f>
        <v>0.63571428571428612</v>
      </c>
      <c r="R66" s="46">
        <f ca="1">IF(tbl_WMT[[#This Row],[Avg_Upmove]]="", "", tbl_WMT[[#This Row],[Avg_Upmove]]/tbl_WMT[[#This Row],[Avg_Downmove]])</f>
        <v>0.71123595505618065</v>
      </c>
      <c r="S66" s="11">
        <f ca="1">IF(ROW($N66)-4&lt;BB_Periods, "", _xlfn.STDEV.S(INDIRECT(ADDRESS(ROW($F66)-RSI_Periods +1, MATCH("Adj Close", Price_Header,0))): INDIRECT(ADDRESS(ROW($F66),MATCH("Adj Close", Price_Header,0)))))</f>
        <v>1.8685223638415025</v>
      </c>
    </row>
    <row r="67" spans="1:19" x14ac:dyDescent="0.35">
      <c r="A67" s="8">
        <v>44140</v>
      </c>
      <c r="B67" s="48">
        <v>144</v>
      </c>
      <c r="C67" s="48">
        <v>144.22999999999999</v>
      </c>
      <c r="D67" s="48">
        <v>142.94</v>
      </c>
      <c r="E67" s="48">
        <v>143.47</v>
      </c>
      <c r="F67" s="48">
        <v>143.47</v>
      </c>
      <c r="G67">
        <v>4734200</v>
      </c>
      <c r="H67" s="48">
        <f>IF(tbl_WMT[[#This Row],[Date]]=$A$5, $F67, EMA_Beta*$H66 + (1-EMA_Beta)*$F67)</f>
        <v>144.40490474414628</v>
      </c>
      <c r="I67" s="50">
        <f ca="1">IF(tbl_WMT[[#This Row],[RS]]= "", "", 100-(100/(1+tbl_WMT[[#This Row],[RS]])))</f>
        <v>46.256038647342969</v>
      </c>
      <c r="J67" s="11">
        <f ca="1">IF(ROW($N67)-4&lt;BB_Periods, "", AVERAGE(INDIRECT(ADDRESS(ROW($F67)-RSI_Periods +1, MATCH("Adj Close", Price_Header,0))): INDIRECT(ADDRESS(ROW($F67),MATCH("Adj Close", Price_Header,0)))))</f>
        <v>142.23857142857145</v>
      </c>
      <c r="K67" s="11">
        <f ca="1">IF(tbl_WMT[[#This Row],[BB_Mean]]="", "", tbl_WMT[[#This Row],[BB_Mean]]+(BB_Width*tbl_WMT[[#This Row],[BB_Stdev]]))</f>
        <v>145.786319205079</v>
      </c>
      <c r="L67" s="11">
        <f ca="1">IF(tbl_WMT[[#This Row],[BB_Mean]]="", "", tbl_WMT[[#This Row],[BB_Mean]]-(BB_Width*tbl_WMT[[#This Row],[BB_Stdev]]))</f>
        <v>138.6908236520639</v>
      </c>
      <c r="M67" s="46">
        <f>IF(ROW(tbl_WMT[[#This Row],[Adj Close]])=5, 0, $F67-$F66)</f>
        <v>1.5099999999999909</v>
      </c>
      <c r="N67" s="46">
        <f>MAX(tbl_WMT[[#This Row],[Move]],0)</f>
        <v>1.5099999999999909</v>
      </c>
      <c r="O67" s="46">
        <f>MAX(-tbl_WMT[[#This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0.54714285714285693</v>
      </c>
      <c r="Q67" s="46">
        <f ca="1">IF(ROW($O67)-5&lt;RSI_Periods, "", AVERAGE(INDIRECT(ADDRESS(ROW($O67)-RSI_Periods +1, MATCH("Downmove", Price_Header,0))): INDIRECT(ADDRESS(ROW($O67),MATCH("Downmove", Price_Header,0)))))</f>
        <v>0.63571428571428612</v>
      </c>
      <c r="R67" s="46">
        <f ca="1">IF(tbl_WMT[[#This Row],[Avg_Upmove]]="", "", tbl_WMT[[#This Row],[Avg_Upmove]]/tbl_WMT[[#This Row],[Avg_Downmove]])</f>
        <v>0.86067415730336994</v>
      </c>
      <c r="S67" s="11">
        <f ca="1">IF(ROW($N67)-4&lt;BB_Periods, "", _xlfn.STDEV.S(INDIRECT(ADDRESS(ROW($F67)-RSI_Periods +1, MATCH("Adj Close", Price_Header,0))): INDIRECT(ADDRESS(ROW($F67),MATCH("Adj Close", Price_Header,0)))))</f>
        <v>1.7738738882537788</v>
      </c>
    </row>
    <row r="68" spans="1:19" x14ac:dyDescent="0.35">
      <c r="A68" s="8">
        <v>44141</v>
      </c>
      <c r="B68" s="48">
        <v>144.36000000000001</v>
      </c>
      <c r="C68" s="48">
        <v>146.22</v>
      </c>
      <c r="D68" s="48">
        <v>143.55000000000001</v>
      </c>
      <c r="E68" s="48">
        <v>145.77000000000001</v>
      </c>
      <c r="F68" s="48">
        <v>145.77000000000001</v>
      </c>
      <c r="G68">
        <v>5399500</v>
      </c>
      <c r="H68" s="48">
        <f>IF(tbl_WMT[[#This Row],[Date]]=$A$5, $F68, EMA_Beta*$H67 + (1-EMA_Beta)*$F68)</f>
        <v>144.54141426973166</v>
      </c>
      <c r="I68" s="50">
        <f ca="1">IF(tbl_WMT[[#This Row],[RS]]= "", "", 100-(100/(1+tbl_WMT[[#This Row],[RS]])))</f>
        <v>57.110091743119312</v>
      </c>
      <c r="J68" s="11">
        <f ca="1">IF(ROW($N68)-4&lt;BB_Periods, "", AVERAGE(INDIRECT(ADDRESS(ROW($F68)-RSI_Periods +1, MATCH("Adj Close", Price_Header,0))): INDIRECT(ADDRESS(ROW($F68),MATCH("Adj Close", Price_Header,0)))))</f>
        <v>142.4157142857143</v>
      </c>
      <c r="K68" s="11">
        <f ca="1">IF(tbl_WMT[[#This Row],[BB_Mean]]="", "", tbl_WMT[[#This Row],[BB_Mean]]+(BB_Width*tbl_WMT[[#This Row],[BB_Stdev]]))</f>
        <v>146.40926072801508</v>
      </c>
      <c r="L68" s="11">
        <f ca="1">IF(tbl_WMT[[#This Row],[BB_Mean]]="", "", tbl_WMT[[#This Row],[BB_Mean]]-(BB_Width*tbl_WMT[[#This Row],[BB_Stdev]]))</f>
        <v>138.42216784341352</v>
      </c>
      <c r="M68" s="46">
        <f>IF(ROW(tbl_WMT[[#This Row],[Adj Close]])=5, 0, $F68-$F67)</f>
        <v>2.3000000000000114</v>
      </c>
      <c r="N68" s="46">
        <f>MAX(tbl_WMT[[#This Row],[Move]],0)</f>
        <v>2.3000000000000114</v>
      </c>
      <c r="O68" s="46">
        <f>MAX(-tbl_WMT[[#This Row],[Move]],0)</f>
        <v>0</v>
      </c>
      <c r="P68" s="46">
        <f ca="1">IF(ROW($N68)-5&lt;RSI_Periods, "", AVERAGE(INDIRECT(ADDRESS(ROW($N68)-RSI_Periods +1, MATCH("Upmove", Price_Header,0))): INDIRECT(ADDRESS(ROW($N68),MATCH("Upmove", Price_Header,0)))))</f>
        <v>0.71142857142857197</v>
      </c>
      <c r="Q68" s="46">
        <f ca="1">IF(ROW($O68)-5&lt;RSI_Periods, "", AVERAGE(INDIRECT(ADDRESS(ROW($O68)-RSI_Periods +1, MATCH("Downmove", Price_Header,0))): INDIRECT(ADDRESS(ROW($O68),MATCH("Downmove", Price_Header,0)))))</f>
        <v>0.53428571428571359</v>
      </c>
      <c r="R68" s="46">
        <f ca="1">IF(tbl_WMT[[#This Row],[Avg_Upmove]]="", "", tbl_WMT[[#This Row],[Avg_Upmove]]/tbl_WMT[[#This Row],[Avg_Downmove]])</f>
        <v>1.3315508021390401</v>
      </c>
      <c r="S68" s="11">
        <f ca="1">IF(ROW($N68)-4&lt;BB_Periods, "", _xlfn.STDEV.S(INDIRECT(ADDRESS(ROW($F68)-RSI_Periods +1, MATCH("Adj Close", Price_Header,0))): INDIRECT(ADDRESS(ROW($F68),MATCH("Adj Close", Price_Header,0)))))</f>
        <v>1.9967732211503921</v>
      </c>
    </row>
    <row r="69" spans="1:19" x14ac:dyDescent="0.35">
      <c r="A69" s="8">
        <v>44144</v>
      </c>
      <c r="B69" s="48">
        <v>148</v>
      </c>
      <c r="C69" s="48">
        <v>148.19999999999999</v>
      </c>
      <c r="D69" s="48">
        <v>143.47999999999999</v>
      </c>
      <c r="E69" s="48">
        <v>143.54</v>
      </c>
      <c r="F69" s="48">
        <v>143.54</v>
      </c>
      <c r="G69">
        <v>9399500</v>
      </c>
      <c r="H69" s="48">
        <f>IF(tbl_WMT[[#This Row],[Date]]=$A$5, $F69, EMA_Beta*$H68 + (1-EMA_Beta)*$F69)</f>
        <v>144.44127284275848</v>
      </c>
      <c r="I69" s="50">
        <f ca="1">IF(tbl_WMT[[#This Row],[RS]]= "", "", 100-(100/(1+tbl_WMT[[#This Row],[RS]])))</f>
        <v>49.055613850996814</v>
      </c>
      <c r="J69" s="11">
        <f ca="1">IF(ROW($N69)-4&lt;BB_Periods, "", AVERAGE(INDIRECT(ADDRESS(ROW($F69)-RSI_Periods +1, MATCH("Adj Close", Price_Header,0))): INDIRECT(ADDRESS(ROW($F69),MATCH("Adj Close", Price_Header,0)))))</f>
        <v>142.39000000000001</v>
      </c>
      <c r="K69" s="11">
        <f ca="1">IF(tbl_WMT[[#This Row],[BB_Mean]]="", "", tbl_WMT[[#This Row],[BB_Mean]]+(BB_Width*tbl_WMT[[#This Row],[BB_Stdev]]))</f>
        <v>146.3468441193223</v>
      </c>
      <c r="L69" s="11">
        <f ca="1">IF(tbl_WMT[[#This Row],[BB_Mean]]="", "", tbl_WMT[[#This Row],[BB_Mean]]-(BB_Width*tbl_WMT[[#This Row],[BB_Stdev]]))</f>
        <v>138.43315588067773</v>
      </c>
      <c r="M69" s="46">
        <f>IF(ROW(tbl_WMT[[#This Row],[Adj Close]])=5, 0, $F69-$F68)</f>
        <v>-2.2300000000000182</v>
      </c>
      <c r="N69" s="46">
        <f>MAX(tbl_WMT[[#This Row],[Move]],0)</f>
        <v>0</v>
      </c>
      <c r="O69" s="46">
        <f>MAX(-tbl_WMT[[#This Row],[Move]],0)</f>
        <v>2.2300000000000182</v>
      </c>
      <c r="P69" s="46">
        <f ca="1">IF(ROW($N69)-5&lt;RSI_Periods, "", AVERAGE(INDIRECT(ADDRESS(ROW($N69)-RSI_Periods +1, MATCH("Upmove", Price_Header,0))): INDIRECT(ADDRESS(ROW($N69),MATCH("Upmove", Price_Header,0)))))</f>
        <v>0.66785714285714248</v>
      </c>
      <c r="Q69" s="46">
        <f ca="1">IF(ROW($O69)-5&lt;RSI_Periods, "", AVERAGE(INDIRECT(ADDRESS(ROW($O69)-RSI_Periods +1, MATCH("Downmove", Price_Header,0))): INDIRECT(ADDRESS(ROW($O69),MATCH("Downmove", Price_Header,0)))))</f>
        <v>0.69357142857142917</v>
      </c>
      <c r="R69" s="46">
        <f ca="1">IF(tbl_WMT[[#This Row],[Avg_Upmove]]="", "", tbl_WMT[[#This Row],[Avg_Upmove]]/tbl_WMT[[#This Row],[Avg_Downmove]])</f>
        <v>0.96292481977342803</v>
      </c>
      <c r="S69" s="11">
        <f ca="1">IF(ROW($N69)-4&lt;BB_Periods, "", _xlfn.STDEV.S(INDIRECT(ADDRESS(ROW($F69)-RSI_Periods +1, MATCH("Adj Close", Price_Header,0))): INDIRECT(ADDRESS(ROW($F69),MATCH("Adj Close", Price_Header,0)))))</f>
        <v>1.9784220596611477</v>
      </c>
    </row>
    <row r="70" spans="1:19" x14ac:dyDescent="0.35">
      <c r="A70" s="8">
        <v>44145</v>
      </c>
      <c r="B70" s="48">
        <v>143.75</v>
      </c>
      <c r="C70" s="48">
        <v>146.44</v>
      </c>
      <c r="D70" s="48">
        <v>143.53</v>
      </c>
      <c r="E70" s="48">
        <v>145.56</v>
      </c>
      <c r="F70" s="48">
        <v>145.56</v>
      </c>
      <c r="G70">
        <v>6066400</v>
      </c>
      <c r="H70" s="48">
        <f>IF(tbl_WMT[[#This Row],[Date]]=$A$5, $F70, EMA_Beta*$H69 + (1-EMA_Beta)*$F70)</f>
        <v>144.55314555848264</v>
      </c>
      <c r="I70" s="50">
        <f ca="1">IF(tbl_WMT[[#This Row],[RS]]= "", "", 100-(100/(1+tbl_WMT[[#This Row],[RS]])))</f>
        <v>52.818270165208922</v>
      </c>
      <c r="J70" s="11">
        <f ca="1">IF(ROW($N70)-4&lt;BB_Periods, "", AVERAGE(INDIRECT(ADDRESS(ROW($F70)-RSI_Periods +1, MATCH("Adj Close", Price_Header,0))): INDIRECT(ADDRESS(ROW($F70),MATCH("Adj Close", Price_Header,0)))))</f>
        <v>142.47285714285712</v>
      </c>
      <c r="K70" s="11">
        <f ca="1">IF(tbl_WMT[[#This Row],[BB_Mean]]="", "", tbl_WMT[[#This Row],[BB_Mean]]+(BB_Width*tbl_WMT[[#This Row],[BB_Stdev]]))</f>
        <v>146.65327617648322</v>
      </c>
      <c r="L70" s="11">
        <f ca="1">IF(tbl_WMT[[#This Row],[BB_Mean]]="", "", tbl_WMT[[#This Row],[BB_Mean]]-(BB_Width*tbl_WMT[[#This Row],[BB_Stdev]]))</f>
        <v>138.29243810923103</v>
      </c>
      <c r="M70" s="46">
        <f>IF(ROW(tbl_WMT[[#This Row],[Adj Close]])=5, 0, $F70-$F69)</f>
        <v>2.0200000000000102</v>
      </c>
      <c r="N70" s="46">
        <f>MAX(tbl_WMT[[#This Row],[Move]],0)</f>
        <v>2.0200000000000102</v>
      </c>
      <c r="O70" s="46">
        <f>MAX(-tbl_WMT[[#This Row],[Move]],0)</f>
        <v>0</v>
      </c>
      <c r="P70" s="46">
        <f ca="1">IF(ROW($N70)-5&lt;RSI_Periods, "", AVERAGE(INDIRECT(ADDRESS(ROW($N70)-RSI_Periods +1, MATCH("Upmove", Price_Header,0))): INDIRECT(ADDRESS(ROW($N70),MATCH("Upmove", Price_Header,0)))))</f>
        <v>0.7764285714285718</v>
      </c>
      <c r="Q70" s="46">
        <f ca="1">IF(ROW($O70)-5&lt;RSI_Periods, "", AVERAGE(INDIRECT(ADDRESS(ROW($O70)-RSI_Periods +1, MATCH("Downmove", Price_Header,0))): INDIRECT(ADDRESS(ROW($O70),MATCH("Downmove", Price_Header,0)))))</f>
        <v>0.69357142857142917</v>
      </c>
      <c r="R70" s="46">
        <f ca="1">IF(tbl_WMT[[#This Row],[Avg_Upmove]]="", "", tbl_WMT[[#This Row],[Avg_Upmove]]/tbl_WMT[[#This Row],[Avg_Downmove]])</f>
        <v>1.1194644696189491</v>
      </c>
      <c r="S70" s="11">
        <f ca="1">IF(ROW($N70)-4&lt;BB_Periods, "", _xlfn.STDEV.S(INDIRECT(ADDRESS(ROW($F70)-RSI_Periods +1, MATCH("Adj Close", Price_Header,0))): INDIRECT(ADDRESS(ROW($F70),MATCH("Adj Close", Price_Header,0)))))</f>
        <v>2.0902095168130481</v>
      </c>
    </row>
    <row r="71" spans="1:19" x14ac:dyDescent="0.35">
      <c r="A71" s="8">
        <v>44146</v>
      </c>
      <c r="B71" s="48">
        <v>146.91999999999999</v>
      </c>
      <c r="C71" s="48">
        <v>148.96</v>
      </c>
      <c r="D71" s="48">
        <v>146.4</v>
      </c>
      <c r="E71" s="48">
        <v>147.97999999999999</v>
      </c>
      <c r="F71" s="48">
        <v>147.97999999999999</v>
      </c>
      <c r="G71">
        <v>6268600</v>
      </c>
      <c r="H71" s="48">
        <f>IF(tbl_WMT[[#This Row],[Date]]=$A$5, $F71, EMA_Beta*$H70 + (1-EMA_Beta)*$F71)</f>
        <v>144.8958310026344</v>
      </c>
      <c r="I71" s="50">
        <f ca="1">IF(tbl_WMT[[#This Row],[RS]]= "", "", 100-(100/(1+tbl_WMT[[#This Row],[RS]])))</f>
        <v>59.99999999999995</v>
      </c>
      <c r="J71" s="11">
        <f ca="1">IF(ROW($N71)-4&lt;BB_Periods, "", AVERAGE(INDIRECT(ADDRESS(ROW($F71)-RSI_Periods +1, MATCH("Adj Close", Price_Header,0))): INDIRECT(ADDRESS(ROW($F71),MATCH("Adj Close", Price_Header,0)))))</f>
        <v>142.78928571428571</v>
      </c>
      <c r="K71" s="11">
        <f ca="1">IF(tbl_WMT[[#This Row],[BB_Mean]]="", "", tbl_WMT[[#This Row],[BB_Mean]]+(BB_Width*tbl_WMT[[#This Row],[BB_Stdev]]))</f>
        <v>147.89021452434321</v>
      </c>
      <c r="L71" s="11">
        <f ca="1">IF(tbl_WMT[[#This Row],[BB_Mean]]="", "", tbl_WMT[[#This Row],[BB_Mean]]-(BB_Width*tbl_WMT[[#This Row],[BB_Stdev]]))</f>
        <v>137.68835690422821</v>
      </c>
      <c r="M71" s="46">
        <f>IF(ROW(tbl_WMT[[#This Row],[Adj Close]])=5, 0, $F71-$F70)</f>
        <v>2.4199999999999875</v>
      </c>
      <c r="N71" s="46">
        <f>MAX(tbl_WMT[[#This Row],[Move]],0)</f>
        <v>2.4199999999999875</v>
      </c>
      <c r="O71" s="46">
        <f>MAX(-tbl_WMT[[#This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0.94928571428571373</v>
      </c>
      <c r="Q71" s="46">
        <f ca="1">IF(ROW($O71)-5&lt;RSI_Periods, "", AVERAGE(INDIRECT(ADDRESS(ROW($O71)-RSI_Periods +1, MATCH("Downmove", Price_Header,0))): INDIRECT(ADDRESS(ROW($O71),MATCH("Downmove", Price_Header,0)))))</f>
        <v>0.63285714285714378</v>
      </c>
      <c r="R71" s="46">
        <f ca="1">IF(tbl_WMT[[#This Row],[Avg_Upmove]]="", "", tbl_WMT[[#This Row],[Avg_Upmove]]/tbl_WMT[[#This Row],[Avg_Downmove]])</f>
        <v>1.4999999999999969</v>
      </c>
      <c r="S71" s="11">
        <f ca="1">IF(ROW($N71)-4&lt;BB_Periods, "", _xlfn.STDEV.S(INDIRECT(ADDRESS(ROW($F71)-RSI_Periods +1, MATCH("Adj Close", Price_Header,0))): INDIRECT(ADDRESS(ROW($F71),MATCH("Adj Close", Price_Header,0)))))</f>
        <v>2.5504644050287553</v>
      </c>
    </row>
    <row r="72" spans="1:19" x14ac:dyDescent="0.35">
      <c r="A72" s="8">
        <v>44147</v>
      </c>
      <c r="B72" s="48">
        <v>148.47999999999999</v>
      </c>
      <c r="C72" s="48">
        <v>148.71</v>
      </c>
      <c r="D72" s="48">
        <v>147.1</v>
      </c>
      <c r="E72" s="48">
        <v>148.22999999999999</v>
      </c>
      <c r="F72" s="48">
        <v>148.22999999999999</v>
      </c>
      <c r="G72">
        <v>4188100</v>
      </c>
      <c r="H72" s="48">
        <f>IF(tbl_WMT[[#This Row],[Date]]=$A$5, $F72, EMA_Beta*$H71 + (1-EMA_Beta)*$F72)</f>
        <v>145.22924790237096</v>
      </c>
      <c r="I72" s="50">
        <f ca="1">IF(tbl_WMT[[#This Row],[RS]]= "", "", 100-(100/(1+tbl_WMT[[#This Row],[RS]])))</f>
        <v>59.909502262443418</v>
      </c>
      <c r="J72" s="11">
        <f ca="1">IF(ROW($N72)-4&lt;BB_Periods, "", AVERAGE(INDIRECT(ADDRESS(ROW($F72)-RSI_Periods +1, MATCH("Adj Close", Price_Header,0))): INDIRECT(ADDRESS(ROW($F72),MATCH("Adj Close", Price_Header,0)))))</f>
        <v>143.10214285714284</v>
      </c>
      <c r="K72" s="11">
        <f ca="1">IF(tbl_WMT[[#This Row],[BB_Mean]]="", "", tbl_WMT[[#This Row],[BB_Mean]]+(BB_Width*tbl_WMT[[#This Row],[BB_Stdev]]))</f>
        <v>148.96386315370808</v>
      </c>
      <c r="L72" s="11">
        <f ca="1">IF(tbl_WMT[[#This Row],[BB_Mean]]="", "", tbl_WMT[[#This Row],[BB_Mean]]-(BB_Width*tbl_WMT[[#This Row],[BB_Stdev]]))</f>
        <v>137.2404225605776</v>
      </c>
      <c r="M72" s="46">
        <f>IF(ROW(tbl_WMT[[#This Row],[Adj Close]])=5, 0, $F72-$F71)</f>
        <v>0.25</v>
      </c>
      <c r="N72" s="46">
        <f>MAX(tbl_WMT[[#This Row],[Move]],0)</f>
        <v>0.25</v>
      </c>
      <c r="O72" s="46">
        <f>MAX(-tbl_WMT[[#This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0.9457142857142864</v>
      </c>
      <c r="Q72" s="46">
        <f ca="1">IF(ROW($O72)-5&lt;RSI_Periods, "", AVERAGE(INDIRECT(ADDRESS(ROW($O72)-RSI_Periods +1, MATCH("Downmove", Price_Header,0))): INDIRECT(ADDRESS(ROW($O72),MATCH("Downmove", Price_Header,0)))))</f>
        <v>0.63285714285714378</v>
      </c>
      <c r="R72" s="46">
        <f ca="1">IF(tbl_WMT[[#This Row],[Avg_Upmove]]="", "", tbl_WMT[[#This Row],[Avg_Upmove]]/tbl_WMT[[#This Row],[Avg_Downmove]])</f>
        <v>1.4943566591422111</v>
      </c>
      <c r="S72" s="11">
        <f ca="1">IF(ROW($N72)-4&lt;BB_Periods, "", _xlfn.STDEV.S(INDIRECT(ADDRESS(ROW($F72)-RSI_Periods +1, MATCH("Adj Close", Price_Header,0))): INDIRECT(ADDRESS(ROW($F72),MATCH("Adj Close", Price_Header,0)))))</f>
        <v>2.9308601482826173</v>
      </c>
    </row>
    <row r="73" spans="1:19" x14ac:dyDescent="0.35">
      <c r="A73" s="8">
        <v>44148</v>
      </c>
      <c r="B73" s="48">
        <v>148.94</v>
      </c>
      <c r="C73" s="48">
        <v>150.94</v>
      </c>
      <c r="D73" s="48">
        <v>147.52000000000001</v>
      </c>
      <c r="E73" s="48">
        <v>150.54</v>
      </c>
      <c r="F73" s="48">
        <v>150.54</v>
      </c>
      <c r="G73">
        <v>6579400</v>
      </c>
      <c r="H73" s="48">
        <f>IF(tbl_WMT[[#This Row],[Date]]=$A$5, $F73, EMA_Beta*$H72 + (1-EMA_Beta)*$F73)</f>
        <v>145.76032311213388</v>
      </c>
      <c r="I73" s="50">
        <f ca="1">IF(tbl_WMT[[#This Row],[RS]]= "", "", 100-(100/(1+tbl_WMT[[#This Row],[RS]])))</f>
        <v>68.441901408450676</v>
      </c>
      <c r="J73" s="11">
        <f ca="1">IF(ROW($N73)-4&lt;BB_Periods, "", AVERAGE(INDIRECT(ADDRESS(ROW($F73)-RSI_Periods +1, MATCH("Adj Close", Price_Header,0))): INDIRECT(ADDRESS(ROW($F73),MATCH("Adj Close", Price_Header,0)))))</f>
        <v>143.70071428571427</v>
      </c>
      <c r="K73" s="11">
        <f ca="1">IF(tbl_WMT[[#This Row],[BB_Mean]]="", "", tbl_WMT[[#This Row],[BB_Mean]]+(BB_Width*tbl_WMT[[#This Row],[BB_Stdev]]))</f>
        <v>150.74097854773746</v>
      </c>
      <c r="L73" s="11">
        <f ca="1">IF(tbl_WMT[[#This Row],[BB_Mean]]="", "", tbl_WMT[[#This Row],[BB_Mean]]-(BB_Width*tbl_WMT[[#This Row],[BB_Stdev]]))</f>
        <v>136.66045002369108</v>
      </c>
      <c r="M73" s="46">
        <f>IF(ROW(tbl_WMT[[#This Row],[Adj Close]])=5, 0, $F73-$F72)</f>
        <v>2.3100000000000023</v>
      </c>
      <c r="N73" s="46">
        <f>MAX(tbl_WMT[[#This Row],[Move]],0)</f>
        <v>2.3100000000000023</v>
      </c>
      <c r="O73" s="46">
        <f>MAX(-tbl_WMT[[#This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1.1107142857142864</v>
      </c>
      <c r="Q73" s="46">
        <f ca="1">IF(ROW($O73)-5&lt;RSI_Periods, "", AVERAGE(INDIRECT(ADDRESS(ROW($O73)-RSI_Periods +1, MATCH("Downmove", Price_Header,0))): INDIRECT(ADDRESS(ROW($O73),MATCH("Downmove", Price_Header,0)))))</f>
        <v>0.51214285714285823</v>
      </c>
      <c r="R73" s="46">
        <f ca="1">IF(tbl_WMT[[#This Row],[Avg_Upmove]]="", "", tbl_WMT[[#This Row],[Avg_Upmove]]/tbl_WMT[[#This Row],[Avg_Downmove]])</f>
        <v>2.1687587168758684</v>
      </c>
      <c r="S73" s="11">
        <f ca="1">IF(ROW($N73)-4&lt;BB_Periods, "", _xlfn.STDEV.S(INDIRECT(ADDRESS(ROW($F73)-RSI_Periods +1, MATCH("Adj Close", Price_Header,0))): INDIRECT(ADDRESS(ROW($F73),MATCH("Adj Close", Price_Header,0)))))</f>
        <v>3.5201321310115916</v>
      </c>
    </row>
    <row r="74" spans="1:19" x14ac:dyDescent="0.35">
      <c r="A74" t="s">
        <v>162</v>
      </c>
      <c r="I74" s="61"/>
      <c r="S74">
        <f ca="1">SUBTOTAL(103,tbl_WMT[BB_Stdev])</f>
        <v>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4"/>
  <sheetViews>
    <sheetView topLeftCell="B63" zoomScale="110" zoomScaleNormal="110" workbookViewId="0">
      <selection activeCell="B74" sqref="B74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169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3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3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3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3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3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3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3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3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3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3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3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3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3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3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3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3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3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3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3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3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3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3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3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3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3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3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35">
      <c r="A45" s="8">
        <v>44110</v>
      </c>
      <c r="B45" s="48">
        <v>2.66</v>
      </c>
      <c r="C45" s="48">
        <v>2.67</v>
      </c>
      <c r="D45" s="48">
        <v>2.5299999999999998</v>
      </c>
      <c r="E45" s="48">
        <v>2.57</v>
      </c>
      <c r="F45" s="48">
        <v>2.57</v>
      </c>
      <c r="G45">
        <v>2444300</v>
      </c>
      <c r="H45" s="48">
        <f>IF(tbl_RIOT[[#This Row],[Date]]=$A$5, $F45, EMA_Beta*$H44 + (1-EMA_Beta)*$F45)</f>
        <v>2.8326000957789859</v>
      </c>
      <c r="I45" s="46">
        <f ca="1">IF(tbl_RIOT[[#This Row],[RS]]= "", "", 100-(100/(1+tbl_RIOT[[#This Row],[RS]])))</f>
        <v>26.923076923076906</v>
      </c>
      <c r="J45" s="48">
        <f ca="1">IF(ROW($N45)-4&lt;BB_Periods, "", AVERAGE(INDIRECT(ADDRESS(ROW($F45)-RSI_Periods +1, MATCH("Adj Close", Price_Header,0))): INDIRECT(ADDRESS(ROW($F45),MATCH("Adj Close", Price_Header,0)))))</f>
        <v>2.754285714285714</v>
      </c>
      <c r="K45" s="48">
        <f ca="1">IF(tbl_RIOT[[#This Row],[BB_Mean]]="", "", tbl_RIOT[[#This Row],[BB_Mean]]+(BB_Width*tbl_RIOT[[#This Row],[BB_Stdev]]))</f>
        <v>3.0699012823636953</v>
      </c>
      <c r="L45" s="48">
        <f ca="1">IF(tbl_RIOT[[#This Row],[BB_Mean]]="", "", tbl_RIOT[[#This Row],[BB_Mean]]-(BB_Width*tbl_RIOT[[#This Row],[BB_Stdev]]))</f>
        <v>2.4386701462077327</v>
      </c>
      <c r="M45" s="46">
        <f>IF(ROW(tbl_RIOT[[#This Row],[Adj Close]])=5, 0, $F45-$F44)</f>
        <v>-9.0000000000000302E-2</v>
      </c>
      <c r="N45" s="46">
        <f>MAX(tbl_RIOT[[#This Row],[Move]],0)</f>
        <v>0</v>
      </c>
      <c r="O45" s="46">
        <f>MAX(-tbl_RIOT[[#This Row],[Move]],0)</f>
        <v>9.0000000000000302E-2</v>
      </c>
      <c r="P45" s="46">
        <f ca="1">IF(ROW($N45)-5&lt;RSI_Periods, "", AVERAGE(INDIRECT(ADDRESS(ROW($N45)-RSI_Periods +1, MATCH("Upmove", Price_Header,0))): INDIRECT(ADDRESS(ROW($N45),MATCH("Upmove", Price_Header,0)))))</f>
        <v>1.9999999999999955E-2</v>
      </c>
      <c r="Q45" s="46">
        <f ca="1">IF(ROW($O45)-5&lt;RSI_Periods, "", AVERAGE(INDIRECT(ADDRESS(ROW($O45)-RSI_Periods +1, MATCH("Downmove", Price_Header,0))): INDIRECT(ADDRESS(ROW($O45),MATCH("Downmove", Price_Header,0)))))</f>
        <v>5.4285714285714236E-2</v>
      </c>
      <c r="R45" s="46">
        <f ca="1">IF(tbl_RIOT[[#This Row],[Avg_Upmove]]="", "", tbl_RIOT[[#This Row],[Avg_Upmove]]/tbl_RIOT[[#This Row],[Avg_Downmove]])</f>
        <v>0.36842105263157848</v>
      </c>
      <c r="S45" s="48">
        <f ca="1">IF(ROW($N45)-4&lt;BB_Periods, "", _xlfn.STDEV.S(INDIRECT(ADDRESS(ROW($F45)-RSI_Periods +1, MATCH("Adj Close", Price_Header,0))): INDIRECT(ADDRESS(ROW($F45),MATCH("Adj Close", Price_Header,0)))))</f>
        <v>0.15780778403899062</v>
      </c>
    </row>
    <row r="46" spans="1:19" x14ac:dyDescent="0.35">
      <c r="A46" s="8">
        <v>44111</v>
      </c>
      <c r="B46" s="48">
        <v>2.57</v>
      </c>
      <c r="C46" s="48">
        <v>2.66</v>
      </c>
      <c r="D46" s="48">
        <v>2.54</v>
      </c>
      <c r="E46" s="48">
        <v>2.66</v>
      </c>
      <c r="F46" s="48">
        <v>2.66</v>
      </c>
      <c r="G46">
        <v>2148400</v>
      </c>
      <c r="H46" s="48">
        <f>IF(tbl_RIOT[[#This Row],[Date]]=$A$5, $F46, EMA_Beta*$H45 + (1-EMA_Beta)*$F46)</f>
        <v>2.8153400862010876</v>
      </c>
      <c r="I46" s="46">
        <f ca="1">IF(tbl_RIOT[[#This Row],[RS]]= "", "", 100-(100/(1+tbl_RIOT[[#This Row],[RS]])))</f>
        <v>34.259259259259252</v>
      </c>
      <c r="J46" s="48">
        <f ca="1">IF(ROW($N46)-4&lt;BB_Periods, "", AVERAGE(INDIRECT(ADDRESS(ROW($F46)-RSI_Periods +1, MATCH("Adj Close", Price_Header,0))): INDIRECT(ADDRESS(ROW($F46),MATCH("Adj Close", Price_Header,0)))))</f>
        <v>2.73</v>
      </c>
      <c r="K46" s="48">
        <f ca="1">IF(tbl_RIOT[[#This Row],[BB_Mean]]="", "", tbl_RIOT[[#This Row],[BB_Mean]]+(BB_Width*tbl_RIOT[[#This Row],[BB_Stdev]]))</f>
        <v>3.0150101212777702</v>
      </c>
      <c r="L46" s="48">
        <f ca="1">IF(tbl_RIOT[[#This Row],[BB_Mean]]="", "", tbl_RIOT[[#This Row],[BB_Mean]]-(BB_Width*tbl_RIOT[[#This Row],[BB_Stdev]]))</f>
        <v>2.4449898787222297</v>
      </c>
      <c r="M46" s="46">
        <f>IF(ROW(tbl_RIOT[[#This Row],[Adj Close]])=5, 0, $F46-$F45)</f>
        <v>9.0000000000000302E-2</v>
      </c>
      <c r="N46" s="46">
        <f>MAX(tbl_RIOT[[#This Row],[Move]],0)</f>
        <v>9.0000000000000302E-2</v>
      </c>
      <c r="O46" s="46">
        <f>MAX(-tbl_RIOT[[#This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2.6428571428571405E-2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5.0714285714285677E-2</v>
      </c>
      <c r="R46" s="46">
        <f ca="1">IF(tbl_RIOT[[#This Row],[Avg_Upmove]]="", "", tbl_RIOT[[#This Row],[Avg_Upmove]]/tbl_RIOT[[#This Row],[Avg_Downmove]])</f>
        <v>0.52112676056338025</v>
      </c>
      <c r="S46" s="48">
        <f ca="1">IF(ROW($N46)-4&lt;BB_Periods, "", _xlfn.STDEV.S(INDIRECT(ADDRESS(ROW($F46)-RSI_Periods +1, MATCH("Adj Close", Price_Header,0))): INDIRECT(ADDRESS(ROW($F46),MATCH("Adj Close", Price_Header,0)))))</f>
        <v>0.14250506063888504</v>
      </c>
    </row>
    <row r="47" spans="1:19" x14ac:dyDescent="0.35">
      <c r="A47" s="8">
        <v>44112</v>
      </c>
      <c r="B47" s="48">
        <v>2.77</v>
      </c>
      <c r="C47" s="48">
        <v>3.09</v>
      </c>
      <c r="D47" s="48">
        <v>2.72</v>
      </c>
      <c r="E47" s="48">
        <v>2.93</v>
      </c>
      <c r="F47" s="48">
        <v>2.93</v>
      </c>
      <c r="G47">
        <v>9775100</v>
      </c>
      <c r="H47" s="48">
        <f>IF(tbl_RIOT[[#This Row],[Date]]=$A$5, $F47, EMA_Beta*$H46 + (1-EMA_Beta)*$F47)</f>
        <v>2.8268060775809785</v>
      </c>
      <c r="I47" s="46">
        <f ca="1">IF(tbl_RIOT[[#This Row],[RS]]= "", "", 100-(100/(1+tbl_RIOT[[#This Row],[RS]])))</f>
        <v>45.384615384615401</v>
      </c>
      <c r="J47" s="48">
        <f ca="1">IF(ROW($N47)-4&lt;BB_Periods, "", AVERAGE(INDIRECT(ADDRESS(ROW($F47)-RSI_Periods +1, MATCH("Adj Close", Price_Header,0))): INDIRECT(ADDRESS(ROW($F47),MATCH("Adj Close", Price_Header,0)))))</f>
        <v>2.7214285714285715</v>
      </c>
      <c r="K47" s="48">
        <f ca="1">IF(tbl_RIOT[[#This Row],[BB_Mean]]="", "", tbl_RIOT[[#This Row],[BB_Mean]]+(BB_Width*tbl_RIOT[[#This Row],[BB_Stdev]]))</f>
        <v>2.969852172791819</v>
      </c>
      <c r="L47" s="48">
        <f ca="1">IF(tbl_RIOT[[#This Row],[BB_Mean]]="", "", tbl_RIOT[[#This Row],[BB_Mean]]-(BB_Width*tbl_RIOT[[#This Row],[BB_Stdev]]))</f>
        <v>2.473004970065324</v>
      </c>
      <c r="M47" s="46">
        <f>IF(ROW(tbl_RIOT[[#This Row],[Adj Close]])=5, 0, $F47-$F46)</f>
        <v>0.27</v>
      </c>
      <c r="N47" s="46">
        <f>MAX(tbl_RIOT[[#This Row],[Move]],0)</f>
        <v>0.27</v>
      </c>
      <c r="O47" s="46">
        <f>MAX(-tbl_RIOT[[#This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4.2142857142857135E-2</v>
      </c>
      <c r="Q47" s="46">
        <f ca="1">IF(ROW($O47)-5&lt;RSI_Periods, "", AVERAGE(INDIRECT(ADDRESS(ROW($O47)-RSI_Periods +1, MATCH("Downmove", Price_Header,0))): INDIRECT(ADDRESS(ROW($O47),MATCH("Downmove", Price_Header,0)))))</f>
        <v>5.0714285714285677E-2</v>
      </c>
      <c r="R47" s="46">
        <f ca="1">IF(tbl_RIOT[[#This Row],[Avg_Upmove]]="", "", tbl_RIOT[[#This Row],[Avg_Upmove]]/tbl_RIOT[[#This Row],[Avg_Downmove]])</f>
        <v>0.83098591549295819</v>
      </c>
      <c r="S47" s="48">
        <f ca="1">IF(ROW($N47)-4&lt;BB_Periods, "", _xlfn.STDEV.S(INDIRECT(ADDRESS(ROW($F47)-RSI_Periods +1, MATCH("Adj Close", Price_Header,0))): INDIRECT(ADDRESS(ROW($F47),MATCH("Adj Close", Price_Header,0)))))</f>
        <v>0.12421180068162381</v>
      </c>
    </row>
    <row r="48" spans="1:19" x14ac:dyDescent="0.35">
      <c r="A48" s="8">
        <v>44113</v>
      </c>
      <c r="B48" s="48">
        <v>3.15</v>
      </c>
      <c r="C48" s="48">
        <v>3.15</v>
      </c>
      <c r="D48" s="48">
        <v>2.96</v>
      </c>
      <c r="E48" s="48">
        <v>3.0950000000000002</v>
      </c>
      <c r="F48" s="48">
        <v>3.0950000000000002</v>
      </c>
      <c r="G48">
        <v>6511000</v>
      </c>
      <c r="H48" s="48">
        <f>IF(tbl_RIOT[[#This Row],[Date]]=$A$5, $F48, EMA_Beta*$H47 + (1-EMA_Beta)*$F48)</f>
        <v>2.8536254698228807</v>
      </c>
      <c r="I48" s="46">
        <f ca="1">IF(tbl_RIOT[[#This Row],[RS]]= "", "", 100-(100/(1+tbl_RIOT[[#This Row],[RS]])))</f>
        <v>56.133828996282531</v>
      </c>
      <c r="J48" s="48">
        <f ca="1">IF(ROW($N48)-4&lt;BB_Periods, "", AVERAGE(INDIRECT(ADDRESS(ROW($F48)-RSI_Periods +1, MATCH("Adj Close", Price_Header,0))): INDIRECT(ADDRESS(ROW($F48),MATCH("Adj Close", Price_Header,0)))))</f>
        <v>2.7332142857142854</v>
      </c>
      <c r="K48" s="48">
        <f ca="1">IF(tbl_RIOT[[#This Row],[BB_Mean]]="", "", tbl_RIOT[[#This Row],[BB_Mean]]+(BB_Width*tbl_RIOT[[#This Row],[BB_Stdev]]))</f>
        <v>3.0343303416144636</v>
      </c>
      <c r="L48" s="48">
        <f ca="1">IF(tbl_RIOT[[#This Row],[BB_Mean]]="", "", tbl_RIOT[[#This Row],[BB_Mean]]-(BB_Width*tbl_RIOT[[#This Row],[BB_Stdev]]))</f>
        <v>2.4320982298141072</v>
      </c>
      <c r="M48" s="46">
        <f>IF(ROW(tbl_RIOT[[#This Row],[Adj Close]])=5, 0, $F48-$F47)</f>
        <v>0.16500000000000004</v>
      </c>
      <c r="N48" s="46">
        <f>MAX(tbl_RIOT[[#This Row],[Move]],0)</f>
        <v>0.16500000000000004</v>
      </c>
      <c r="O48" s="46">
        <f>MAX(-tbl_RIOT[[#This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5.3928571428571423E-2</v>
      </c>
      <c r="Q48" s="46">
        <f ca="1">IF(ROW($O48)-5&lt;RSI_Periods, "", AVERAGE(INDIRECT(ADDRESS(ROW($O48)-RSI_Periods +1, MATCH("Downmove", Price_Header,0))): INDIRECT(ADDRESS(ROW($O48),MATCH("Downmove", Price_Header,0)))))</f>
        <v>4.2142857142857135E-2</v>
      </c>
      <c r="R48" s="46">
        <f ca="1">IF(tbl_RIOT[[#This Row],[Avg_Upmove]]="", "", tbl_RIOT[[#This Row],[Avg_Upmove]]/tbl_RIOT[[#This Row],[Avg_Downmove]])</f>
        <v>1.2796610169491527</v>
      </c>
      <c r="S48" s="48">
        <f ca="1">IF(ROW($N48)-4&lt;BB_Periods, "", _xlfn.STDEV.S(INDIRECT(ADDRESS(ROW($F48)-RSI_Periods +1, MATCH("Adj Close", Price_Header,0))): INDIRECT(ADDRESS(ROW($F48),MATCH("Adj Close", Price_Header,0)))))</f>
        <v>0.15055802795008905</v>
      </c>
    </row>
    <row r="49" spans="1:19" x14ac:dyDescent="0.35">
      <c r="A49" s="8">
        <v>44116</v>
      </c>
      <c r="B49" s="48">
        <v>3.22</v>
      </c>
      <c r="C49" s="48">
        <v>3.65</v>
      </c>
      <c r="D49" s="48">
        <v>3.16</v>
      </c>
      <c r="E49" s="48">
        <v>3.5</v>
      </c>
      <c r="F49" s="48">
        <v>3.5</v>
      </c>
      <c r="G49">
        <v>12692100</v>
      </c>
      <c r="H49" s="48">
        <f>IF(tbl_RIOT[[#This Row],[Date]]=$A$5, $F49, EMA_Beta*$H48 + (1-EMA_Beta)*$F49)</f>
        <v>2.9182629228405927</v>
      </c>
      <c r="I49" s="46">
        <f ca="1">IF(tbl_RIOT[[#This Row],[RS]]= "", "", 100-(100/(1+tbl_RIOT[[#This Row],[RS]])))</f>
        <v>66.285714285714278</v>
      </c>
      <c r="J49" s="48">
        <f ca="1">IF(ROW($N49)-4&lt;BB_Periods, "", AVERAGE(INDIRECT(ADDRESS(ROW($F49)-RSI_Periods +1, MATCH("Adj Close", Price_Header,0))): INDIRECT(ADDRESS(ROW($F49),MATCH("Adj Close", Price_Header,0)))))</f>
        <v>2.7739285714285713</v>
      </c>
      <c r="K49" s="48">
        <f ca="1">IF(tbl_RIOT[[#This Row],[BB_Mean]]="", "", tbl_RIOT[[#This Row],[BB_Mean]]+(BB_Width*tbl_RIOT[[#This Row],[BB_Stdev]]))</f>
        <v>3.2764480478429929</v>
      </c>
      <c r="L49" s="48">
        <f ca="1">IF(tbl_RIOT[[#This Row],[BB_Mean]]="", "", tbl_RIOT[[#This Row],[BB_Mean]]-(BB_Width*tbl_RIOT[[#This Row],[BB_Stdev]]))</f>
        <v>2.2714090950141497</v>
      </c>
      <c r="M49" s="46">
        <f>IF(ROW(tbl_RIOT[[#This Row],[Adj Close]])=5, 0, $F49-$F48)</f>
        <v>0.4049999999999998</v>
      </c>
      <c r="N49" s="46">
        <f>MAX(tbl_RIOT[[#This Row],[Move]],0)</f>
        <v>0.4049999999999998</v>
      </c>
      <c r="O49" s="46">
        <f>MAX(-tbl_RIOT[[#This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8.2857142857142838E-2</v>
      </c>
      <c r="Q49" s="46">
        <f ca="1">IF(ROW($O49)-5&lt;RSI_Periods, "", AVERAGE(INDIRECT(ADDRESS(ROW($O49)-RSI_Periods +1, MATCH("Downmove", Price_Header,0))): INDIRECT(ADDRESS(ROW($O49),MATCH("Downmove", Price_Header,0)))))</f>
        <v>4.2142857142857135E-2</v>
      </c>
      <c r="R49" s="46">
        <f ca="1">IF(tbl_RIOT[[#This Row],[Avg_Upmove]]="", "", tbl_RIOT[[#This Row],[Avg_Upmove]]/tbl_RIOT[[#This Row],[Avg_Downmove]])</f>
        <v>1.9661016949152541</v>
      </c>
      <c r="S49" s="48">
        <f ca="1">IF(ROW($N49)-4&lt;BB_Periods, "", _xlfn.STDEV.S(INDIRECT(ADDRESS(ROW($F49)-RSI_Periods +1, MATCH("Adj Close", Price_Header,0))): INDIRECT(ADDRESS(ROW($F49),MATCH("Adj Close", Price_Header,0)))))</f>
        <v>0.2512597382072107</v>
      </c>
    </row>
    <row r="50" spans="1:19" x14ac:dyDescent="0.35">
      <c r="A50" s="8">
        <v>44117</v>
      </c>
      <c r="B50" s="48">
        <v>3.4670000000000001</v>
      </c>
      <c r="C50" s="48">
        <v>3.47</v>
      </c>
      <c r="D50" s="48">
        <v>3.22</v>
      </c>
      <c r="E50" s="48">
        <v>3.37</v>
      </c>
      <c r="F50" s="48">
        <v>3.37</v>
      </c>
      <c r="G50">
        <v>5209300</v>
      </c>
      <c r="H50" s="48">
        <f>IF(tbl_RIOT[[#This Row],[Date]]=$A$5, $F50, EMA_Beta*$H49 + (1-EMA_Beta)*$F50)</f>
        <v>2.9634366305565334</v>
      </c>
      <c r="I50" s="46">
        <f ca="1">IF(tbl_RIOT[[#This Row],[RS]]= "", "", 100-(100/(1+tbl_RIOT[[#This Row],[RS]])))</f>
        <v>74.838709677419359</v>
      </c>
      <c r="J50" s="48">
        <f ca="1">IF(ROW($N50)-4&lt;BB_Periods, "", AVERAGE(INDIRECT(ADDRESS(ROW($F50)-RSI_Periods +1, MATCH("Adj Close", Price_Header,0))): INDIRECT(ADDRESS(ROW($F50),MATCH("Adj Close", Price_Header,0)))))</f>
        <v>2.828928571428571</v>
      </c>
      <c r="K50" s="48">
        <f ca="1">IF(tbl_RIOT[[#This Row],[BB_Mean]]="", "", tbl_RIOT[[#This Row],[BB_Mean]]+(BB_Width*tbl_RIOT[[#This Row],[BB_Stdev]]))</f>
        <v>3.4116038150767283</v>
      </c>
      <c r="L50" s="48">
        <f ca="1">IF(tbl_RIOT[[#This Row],[BB_Mean]]="", "", tbl_RIOT[[#This Row],[BB_Mean]]-(BB_Width*tbl_RIOT[[#This Row],[BB_Stdev]]))</f>
        <v>2.2462533277804138</v>
      </c>
      <c r="M50" s="46">
        <f>IF(ROW(tbl_RIOT[[#This Row],[Adj Close]])=5, 0, $F50-$F49)</f>
        <v>-0.12999999999999989</v>
      </c>
      <c r="N50" s="46">
        <f>MAX(tbl_RIOT[[#This Row],[Move]],0)</f>
        <v>0</v>
      </c>
      <c r="O50" s="46">
        <f>MAX(-tbl_RIOT[[#This Row],[Move]],0)</f>
        <v>0.12999999999999989</v>
      </c>
      <c r="P50" s="46">
        <f ca="1">IF(ROW($N50)-5&lt;RSI_Periods, "", AVERAGE(INDIRECT(ADDRESS(ROW($N50)-RSI_Periods +1, MATCH("Upmove", Price_Header,0))): INDIRECT(ADDRESS(ROW($N50),MATCH("Upmove", Price_Header,0)))))</f>
        <v>8.2857142857142838E-2</v>
      </c>
      <c r="Q50" s="46">
        <f ca="1">IF(ROW($O50)-5&lt;RSI_Periods, "", AVERAGE(INDIRECT(ADDRESS(ROW($O50)-RSI_Periods +1, MATCH("Downmove", Price_Header,0))): INDIRECT(ADDRESS(ROW($O50),MATCH("Downmove", Price_Header,0)))))</f>
        <v>2.7857142857142834E-2</v>
      </c>
      <c r="R50" s="46">
        <f ca="1">IF(tbl_RIOT[[#This Row],[Avg_Upmove]]="", "", tbl_RIOT[[#This Row],[Avg_Upmove]]/tbl_RIOT[[#This Row],[Avg_Downmove]])</f>
        <v>2.9743589743589762</v>
      </c>
      <c r="S50" s="48">
        <f ca="1">IF(ROW($N50)-4&lt;BB_Periods, "", _xlfn.STDEV.S(INDIRECT(ADDRESS(ROW($F50)-RSI_Periods +1, MATCH("Adj Close", Price_Header,0))): INDIRECT(ADDRESS(ROW($F50),MATCH("Adj Close", Price_Header,0)))))</f>
        <v>0.29133762182407869</v>
      </c>
    </row>
    <row r="51" spans="1:19" x14ac:dyDescent="0.35">
      <c r="A51" s="8">
        <v>44118</v>
      </c>
      <c r="B51" s="48">
        <v>3.33</v>
      </c>
      <c r="C51" s="48">
        <v>3.49</v>
      </c>
      <c r="D51" s="48">
        <v>3.21</v>
      </c>
      <c r="E51" s="48">
        <v>3.28</v>
      </c>
      <c r="F51" s="48">
        <v>3.28</v>
      </c>
      <c r="G51">
        <v>4023900</v>
      </c>
      <c r="H51" s="48">
        <f>IF(tbl_RIOT[[#This Row],[Date]]=$A$5, $F51, EMA_Beta*$H50 + (1-EMA_Beta)*$F51)</f>
        <v>2.9950929675008799</v>
      </c>
      <c r="I51" s="46">
        <f ca="1">IF(tbl_RIOT[[#This Row],[RS]]= "", "", 100-(100/(1+tbl_RIOT[[#This Row],[RS]])))</f>
        <v>69.032258064516128</v>
      </c>
      <c r="J51" s="48">
        <f ca="1">IF(ROW($N51)-4&lt;BB_Periods, "", AVERAGE(INDIRECT(ADDRESS(ROW($F51)-RSI_Periods +1, MATCH("Adj Close", Price_Header,0))): INDIRECT(ADDRESS(ROW($F51),MATCH("Adj Close", Price_Header,0)))))</f>
        <v>2.8710714285714287</v>
      </c>
      <c r="K51" s="48">
        <f ca="1">IF(tbl_RIOT[[#This Row],[BB_Mean]]="", "", tbl_RIOT[[#This Row],[BB_Mean]]+(BB_Width*tbl_RIOT[[#This Row],[BB_Stdev]]))</f>
        <v>3.4943898256814645</v>
      </c>
      <c r="L51" s="48">
        <f ca="1">IF(tbl_RIOT[[#This Row],[BB_Mean]]="", "", tbl_RIOT[[#This Row],[BB_Mean]]-(BB_Width*tbl_RIOT[[#This Row],[BB_Stdev]]))</f>
        <v>2.2477530314613929</v>
      </c>
      <c r="M51" s="46">
        <f>IF(ROW(tbl_RIOT[[#This Row],[Adj Close]])=5, 0, $F51-$F50)</f>
        <v>-9.0000000000000302E-2</v>
      </c>
      <c r="N51" s="46">
        <f>MAX(tbl_RIOT[[#This Row],[Move]],0)</f>
        <v>0</v>
      </c>
      <c r="O51" s="46">
        <f>MAX(-tbl_RIOT[[#This Row],[Move]],0)</f>
        <v>9.0000000000000302E-2</v>
      </c>
      <c r="P51" s="46">
        <f ca="1">IF(ROW($N51)-5&lt;RSI_Periods, "", AVERAGE(INDIRECT(ADDRESS(ROW($N51)-RSI_Periods +1, MATCH("Upmove", Price_Header,0))): INDIRECT(ADDRESS(ROW($N51),MATCH("Upmove", Price_Header,0)))))</f>
        <v>7.6428571428571415E-2</v>
      </c>
      <c r="Q51" s="46">
        <f ca="1">IF(ROW($O51)-5&lt;RSI_Periods, "", AVERAGE(INDIRECT(ADDRESS(ROW($O51)-RSI_Periods +1, MATCH("Downmove", Price_Header,0))): INDIRECT(ADDRESS(ROW($O51),MATCH("Downmove", Price_Header,0)))))</f>
        <v>3.4285714285714287E-2</v>
      </c>
      <c r="R51" s="46">
        <f ca="1">IF(tbl_RIOT[[#This Row],[Avg_Upmove]]="", "", tbl_RIOT[[#This Row],[Avg_Upmove]]/tbl_RIOT[[#This Row],[Avg_Downmove]])</f>
        <v>2.2291666666666661</v>
      </c>
      <c r="S51" s="48">
        <f ca="1">IF(ROW($N51)-4&lt;BB_Periods, "", _xlfn.STDEV.S(INDIRECT(ADDRESS(ROW($F51)-RSI_Periods +1, MATCH("Adj Close", Price_Header,0))): INDIRECT(ADDRESS(ROW($F51),MATCH("Adj Close", Price_Header,0)))))</f>
        <v>0.31165919855501778</v>
      </c>
    </row>
    <row r="52" spans="1:19" x14ac:dyDescent="0.35">
      <c r="A52" s="8">
        <v>44119</v>
      </c>
      <c r="B52" s="48">
        <v>3.1760000000000002</v>
      </c>
      <c r="C52" s="48">
        <v>3.47</v>
      </c>
      <c r="D52" s="48">
        <v>3.0760000000000001</v>
      </c>
      <c r="E52" s="48">
        <v>3.4</v>
      </c>
      <c r="F52" s="48">
        <v>3.4</v>
      </c>
      <c r="G52">
        <v>3605700</v>
      </c>
      <c r="H52" s="48">
        <f>IF(tbl_RIOT[[#This Row],[Date]]=$A$5, $F52, EMA_Beta*$H51 + (1-EMA_Beta)*$F52)</f>
        <v>3.0355836707507917</v>
      </c>
      <c r="I52" s="46">
        <f ca="1">IF(tbl_RIOT[[#This Row],[RS]]= "", "", 100-(100/(1+tbl_RIOT[[#This Row],[RS]])))</f>
        <v>71.686746987951793</v>
      </c>
      <c r="J52" s="48">
        <f ca="1">IF(ROW($N52)-4&lt;BB_Periods, "", AVERAGE(INDIRECT(ADDRESS(ROW($F52)-RSI_Periods +1, MATCH("Adj Close", Price_Header,0))): INDIRECT(ADDRESS(ROW($F52),MATCH("Adj Close", Price_Header,0)))))</f>
        <v>2.9224999999999999</v>
      </c>
      <c r="K52" s="48">
        <f ca="1">IF(tbl_RIOT[[#This Row],[BB_Mean]]="", "", tbl_RIOT[[#This Row],[BB_Mean]]+(BB_Width*tbl_RIOT[[#This Row],[BB_Stdev]]))</f>
        <v>3.594795150384686</v>
      </c>
      <c r="L52" s="48">
        <f ca="1">IF(tbl_RIOT[[#This Row],[BB_Mean]]="", "", tbl_RIOT[[#This Row],[BB_Mean]]-(BB_Width*tbl_RIOT[[#This Row],[BB_Stdev]]))</f>
        <v>2.2502048496153138</v>
      </c>
      <c r="M52" s="46">
        <f>IF(ROW(tbl_RIOT[[#This Row],[Adj Close]])=5, 0, $F52-$F51)</f>
        <v>0.12000000000000011</v>
      </c>
      <c r="N52" s="46">
        <f>MAX(tbl_RIOT[[#This Row],[Move]],0)</f>
        <v>0.12000000000000011</v>
      </c>
      <c r="O52" s="46">
        <f>MAX(-tbl_RIOT[[#This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8.4999999999999992E-2</v>
      </c>
      <c r="Q52" s="46">
        <f ca="1">IF(ROW($O52)-5&lt;RSI_Periods, "", AVERAGE(INDIRECT(ADDRESS(ROW($O52)-RSI_Periods +1, MATCH("Downmove", Price_Header,0))): INDIRECT(ADDRESS(ROW($O52),MATCH("Downmove", Price_Header,0)))))</f>
        <v>3.3571428571428585E-2</v>
      </c>
      <c r="R52" s="46">
        <f ca="1">IF(tbl_RIOT[[#This Row],[Avg_Upmove]]="", "", tbl_RIOT[[#This Row],[Avg_Upmove]]/tbl_RIOT[[#This Row],[Avg_Downmove]])</f>
        <v>2.5319148936170199</v>
      </c>
      <c r="S52" s="48">
        <f ca="1">IF(ROW($N52)-4&lt;BB_Periods, "", _xlfn.STDEV.S(INDIRECT(ADDRESS(ROW($F52)-RSI_Periods +1, MATCH("Adj Close", Price_Header,0))): INDIRECT(ADDRESS(ROW($F52),MATCH("Adj Close", Price_Header,0)))))</f>
        <v>0.33614757519234312</v>
      </c>
    </row>
    <row r="53" spans="1:19" x14ac:dyDescent="0.35">
      <c r="A53" s="8">
        <v>44120</v>
      </c>
      <c r="B53" s="48">
        <v>3.37</v>
      </c>
      <c r="C53" s="48">
        <v>3.37</v>
      </c>
      <c r="D53" s="48">
        <v>3.11</v>
      </c>
      <c r="E53" s="48">
        <v>3.11</v>
      </c>
      <c r="F53" s="48">
        <v>3.11</v>
      </c>
      <c r="G53">
        <v>4208700</v>
      </c>
      <c r="H53" s="48">
        <f>IF(tbl_RIOT[[#This Row],[Date]]=$A$5, $F53, EMA_Beta*$H52 + (1-EMA_Beta)*$F53)</f>
        <v>3.0430253036757127</v>
      </c>
      <c r="I53" s="46">
        <f ca="1">IF(tbl_RIOT[[#This Row],[RS]]= "", "", 100-(100/(1+tbl_RIOT[[#This Row],[RS]])))</f>
        <v>59.788359788359784</v>
      </c>
      <c r="J53" s="48">
        <f ca="1">IF(ROW($N53)-4&lt;BB_Periods, "", AVERAGE(INDIRECT(ADDRESS(ROW($F53)-RSI_Periods +1, MATCH("Adj Close", Price_Header,0))): INDIRECT(ADDRESS(ROW($F53),MATCH("Adj Close", Price_Header,0)))))</f>
        <v>2.9489285714285711</v>
      </c>
      <c r="K53" s="48">
        <f ca="1">IF(tbl_RIOT[[#This Row],[BB_Mean]]="", "", tbl_RIOT[[#This Row],[BB_Mean]]+(BB_Width*tbl_RIOT[[#This Row],[BB_Stdev]]))</f>
        <v>3.6194069146964307</v>
      </c>
      <c r="L53" s="48">
        <f ca="1">IF(tbl_RIOT[[#This Row],[BB_Mean]]="", "", tbl_RIOT[[#This Row],[BB_Mean]]-(BB_Width*tbl_RIOT[[#This Row],[BB_Stdev]]))</f>
        <v>2.2784502281607115</v>
      </c>
      <c r="M53" s="46">
        <f>IF(ROW(tbl_RIOT[[#This Row],[Adj Close]])=5, 0, $F53-$F52)</f>
        <v>-0.29000000000000004</v>
      </c>
      <c r="N53" s="46">
        <f>MAX(tbl_RIOT[[#This Row],[Move]],0)</f>
        <v>0</v>
      </c>
      <c r="O53" s="46">
        <f>MAX(-tbl_RIOT[[#This Row],[Move]],0)</f>
        <v>0.29000000000000004</v>
      </c>
      <c r="P53" s="46">
        <f ca="1">IF(ROW($N53)-5&lt;RSI_Periods, "", AVERAGE(INDIRECT(ADDRESS(ROW($N53)-RSI_Periods +1, MATCH("Upmove", Price_Header,0))): INDIRECT(ADDRESS(ROW($N53),MATCH("Upmove", Price_Header,0)))))</f>
        <v>8.0714285714285711E-2</v>
      </c>
      <c r="Q53" s="46">
        <f ca="1">IF(ROW($O53)-5&lt;RSI_Periods, "", AVERAGE(INDIRECT(ADDRESS(ROW($O53)-RSI_Periods +1, MATCH("Downmove", Price_Header,0))): INDIRECT(ADDRESS(ROW($O53),MATCH("Downmove", Price_Header,0)))))</f>
        <v>5.4285714285714305E-2</v>
      </c>
      <c r="R53" s="46">
        <f ca="1">IF(tbl_RIOT[[#This Row],[Avg_Upmove]]="", "", tbl_RIOT[[#This Row],[Avg_Upmove]]/tbl_RIOT[[#This Row],[Avg_Downmove]])</f>
        <v>1.4868421052631573</v>
      </c>
      <c r="S53" s="48">
        <f ca="1">IF(ROW($N53)-4&lt;BB_Periods, "", _xlfn.STDEV.S(INDIRECT(ADDRESS(ROW($F53)-RSI_Periods +1, MATCH("Adj Close", Price_Header,0))): INDIRECT(ADDRESS(ROW($F53),MATCH("Adj Close", Price_Header,0)))))</f>
        <v>0.33523917163392986</v>
      </c>
    </row>
    <row r="54" spans="1:19" x14ac:dyDescent="0.35">
      <c r="A54" s="8">
        <v>44123</v>
      </c>
      <c r="B54" s="48">
        <v>3.32</v>
      </c>
      <c r="C54" s="48">
        <v>3.55</v>
      </c>
      <c r="D54" s="48">
        <v>3.25</v>
      </c>
      <c r="E54" s="48">
        <v>3.3</v>
      </c>
      <c r="F54" s="48">
        <v>3.3</v>
      </c>
      <c r="G54">
        <v>8712127</v>
      </c>
      <c r="H54" s="48">
        <f>IF(tbl_RIOT[[#This Row],[Date]]=$A$5, $F54, EMA_Beta*$H53 + (1-EMA_Beta)*$F54)</f>
        <v>3.0687227733081417</v>
      </c>
      <c r="I54" s="46">
        <f ca="1">IF(tbl_RIOT[[#This Row],[RS]]= "", "", 100-(100/(1+tbl_RIOT[[#This Row],[RS]])))</f>
        <v>63.106796116504853</v>
      </c>
      <c r="J54" s="48">
        <f ca="1">IF(ROW($N54)-4&lt;BB_Periods, "", AVERAGE(INDIRECT(ADDRESS(ROW($F54)-RSI_Periods +1, MATCH("Adj Close", Price_Header,0))): INDIRECT(ADDRESS(ROW($F54),MATCH("Adj Close", Price_Header,0)))))</f>
        <v>2.9874999999999998</v>
      </c>
      <c r="K54" s="48">
        <f ca="1">IF(tbl_RIOT[[#This Row],[BB_Mean]]="", "", tbl_RIOT[[#This Row],[BB_Mean]]+(BB_Width*tbl_RIOT[[#This Row],[BB_Stdev]]))</f>
        <v>3.6731187547924034</v>
      </c>
      <c r="L54" s="48">
        <f ca="1">IF(tbl_RIOT[[#This Row],[BB_Mean]]="", "", tbl_RIOT[[#This Row],[BB_Mean]]-(BB_Width*tbl_RIOT[[#This Row],[BB_Stdev]]))</f>
        <v>2.3018812452075963</v>
      </c>
      <c r="M54" s="46">
        <f>IF(ROW(tbl_RIOT[[#This Row],[Adj Close]])=5, 0, $F54-$F53)</f>
        <v>0.18999999999999995</v>
      </c>
      <c r="N54" s="46">
        <f>MAX(tbl_RIOT[[#This Row],[Move]],0)</f>
        <v>0.18999999999999995</v>
      </c>
      <c r="O54" s="46">
        <f>MAX(-tbl_RIOT[[#This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9.2857142857142874E-2</v>
      </c>
      <c r="Q54" s="46">
        <f ca="1">IF(ROW($O54)-5&lt;RSI_Periods, "", AVERAGE(INDIRECT(ADDRESS(ROW($O54)-RSI_Periods +1, MATCH("Downmove", Price_Header,0))): INDIRECT(ADDRESS(ROW($O54),MATCH("Downmove", Price_Header,0)))))</f>
        <v>5.4285714285714305E-2</v>
      </c>
      <c r="R54" s="46">
        <f ca="1">IF(tbl_RIOT[[#This Row],[Avg_Upmove]]="", "", tbl_RIOT[[#This Row],[Avg_Upmove]]/tbl_RIOT[[#This Row],[Avg_Downmove]])</f>
        <v>1.7105263157894735</v>
      </c>
      <c r="S54" s="48">
        <f ca="1">IF(ROW($N54)-4&lt;BB_Periods, "", _xlfn.STDEV.S(INDIRECT(ADDRESS(ROW($F54)-RSI_Periods +1, MATCH("Adj Close", Price_Header,0))): INDIRECT(ADDRESS(ROW($F54),MATCH("Adj Close", Price_Header,0)))))</f>
        <v>0.34280937739620171</v>
      </c>
    </row>
    <row r="55" spans="1:19" x14ac:dyDescent="0.35">
      <c r="A55" s="8">
        <v>44124</v>
      </c>
      <c r="B55" s="48">
        <v>3.45</v>
      </c>
      <c r="C55" s="48">
        <v>3.77</v>
      </c>
      <c r="D55" s="48">
        <v>3.41</v>
      </c>
      <c r="E55" s="48">
        <v>3.54</v>
      </c>
      <c r="F55" s="48">
        <v>3.54</v>
      </c>
      <c r="G55">
        <v>13717600</v>
      </c>
      <c r="H55" s="48">
        <f>IF(tbl_RIOT[[#This Row],[Date]]=$A$5, $F55, EMA_Beta*$H54 + (1-EMA_Beta)*$F55)</f>
        <v>3.1158504959773277</v>
      </c>
      <c r="I55" s="46">
        <f ca="1">IF(tbl_RIOT[[#This Row],[RS]]= "", "", 100-(100/(1+tbl_RIOT[[#This Row],[RS]])))</f>
        <v>68.749999999999986</v>
      </c>
      <c r="J55" s="48">
        <f ca="1">IF(ROW($N55)-4&lt;BB_Periods, "", AVERAGE(INDIRECT(ADDRESS(ROW($F55)-RSI_Periods +1, MATCH("Adj Close", Price_Header,0))): INDIRECT(ADDRESS(ROW($F55),MATCH("Adj Close", Price_Header,0)))))</f>
        <v>3.0474999999999999</v>
      </c>
      <c r="K55" s="48">
        <f ca="1">IF(tbl_RIOT[[#This Row],[BB_Mean]]="", "", tbl_RIOT[[#This Row],[BB_Mean]]+(BB_Width*tbl_RIOT[[#This Row],[BB_Stdev]]))</f>
        <v>3.7707272756939565</v>
      </c>
      <c r="L55" s="48">
        <f ca="1">IF(tbl_RIOT[[#This Row],[BB_Mean]]="", "", tbl_RIOT[[#This Row],[BB_Mean]]-(BB_Width*tbl_RIOT[[#This Row],[BB_Stdev]]))</f>
        <v>2.3242727243060433</v>
      </c>
      <c r="M55" s="46">
        <f>IF(ROW(tbl_RIOT[[#This Row],[Adj Close]])=5, 0, $F55-$F54)</f>
        <v>0.24000000000000021</v>
      </c>
      <c r="N55" s="46">
        <f>MAX(tbl_RIOT[[#This Row],[Move]],0)</f>
        <v>0.24000000000000021</v>
      </c>
      <c r="O55" s="46">
        <f>MAX(-tbl_RIOT[[#This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0.11000000000000003</v>
      </c>
      <c r="Q55" s="46">
        <f ca="1">IF(ROW($O55)-5&lt;RSI_Periods, "", AVERAGE(INDIRECT(ADDRESS(ROW($O55)-RSI_Periods +1, MATCH("Downmove", Price_Header,0))): INDIRECT(ADDRESS(ROW($O55),MATCH("Downmove", Price_Header,0)))))</f>
        <v>5.0000000000000044E-2</v>
      </c>
      <c r="R55" s="46">
        <f ca="1">IF(tbl_RIOT[[#This Row],[Avg_Upmove]]="", "", tbl_RIOT[[#This Row],[Avg_Upmove]]/tbl_RIOT[[#This Row],[Avg_Downmove]])</f>
        <v>2.1999999999999984</v>
      </c>
      <c r="S55" s="48">
        <f ca="1">IF(ROW($N55)-4&lt;BB_Periods, "", _xlfn.STDEV.S(INDIRECT(ADDRESS(ROW($F55)-RSI_Periods +1, MATCH("Adj Close", Price_Header,0))): INDIRECT(ADDRESS(ROW($F55),MATCH("Adj Close", Price_Header,0)))))</f>
        <v>0.36161363784697831</v>
      </c>
    </row>
    <row r="56" spans="1:19" x14ac:dyDescent="0.35">
      <c r="A56" s="8">
        <v>44125</v>
      </c>
      <c r="B56" s="48">
        <v>3.93</v>
      </c>
      <c r="C56" s="48">
        <v>4.1399999999999997</v>
      </c>
      <c r="D56" s="48">
        <v>3.76</v>
      </c>
      <c r="E56" s="48">
        <v>3.98</v>
      </c>
      <c r="F56" s="48">
        <v>3.98</v>
      </c>
      <c r="G56">
        <v>18072900</v>
      </c>
      <c r="H56" s="48">
        <f>IF(tbl_RIOT[[#This Row],[Date]]=$A$5, $F56, EMA_Beta*$H55 + (1-EMA_Beta)*$F56)</f>
        <v>3.2022654463795952</v>
      </c>
      <c r="I56" s="46">
        <f ca="1">IF(tbl_RIOT[[#This Row],[RS]]= "", "", 100-(100/(1+tbl_RIOT[[#This Row],[RS]])))</f>
        <v>75.285171102661593</v>
      </c>
      <c r="J56" s="48">
        <f ca="1">IF(ROW($N56)-4&lt;BB_Periods, "", AVERAGE(INDIRECT(ADDRESS(ROW($F56)-RSI_Periods +1, MATCH("Adj Close", Price_Header,0))): INDIRECT(ADDRESS(ROW($F56),MATCH("Adj Close", Price_Header,0)))))</f>
        <v>3.1424999999999996</v>
      </c>
      <c r="K56" s="48">
        <f ca="1">IF(tbl_RIOT[[#This Row],[BB_Mean]]="", "", tbl_RIOT[[#This Row],[BB_Mean]]+(BB_Width*tbl_RIOT[[#This Row],[BB_Stdev]]))</f>
        <v>3.981022051450787</v>
      </c>
      <c r="L56" s="48">
        <f ca="1">IF(tbl_RIOT[[#This Row],[BB_Mean]]="", "", tbl_RIOT[[#This Row],[BB_Mean]]-(BB_Width*tbl_RIOT[[#This Row],[BB_Stdev]]))</f>
        <v>2.3039779485492122</v>
      </c>
      <c r="M56" s="46">
        <f>IF(ROW(tbl_RIOT[[#This Row],[Adj Close]])=5, 0, $F56-$F55)</f>
        <v>0.43999999999999995</v>
      </c>
      <c r="N56" s="46">
        <f>MAX(tbl_RIOT[[#This Row],[Move]],0)</f>
        <v>0.43999999999999995</v>
      </c>
      <c r="O56" s="46">
        <f>MAX(-tbl_RIOT[[#This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0.14142857142857146</v>
      </c>
      <c r="Q56" s="46">
        <f ca="1">IF(ROW($O56)-5&lt;RSI_Periods, "", AVERAGE(INDIRECT(ADDRESS(ROW($O56)-RSI_Periods +1, MATCH("Downmove", Price_Header,0))): INDIRECT(ADDRESS(ROW($O56),MATCH("Downmove", Price_Header,0)))))</f>
        <v>4.6428571428571451E-2</v>
      </c>
      <c r="R56" s="46">
        <f ca="1">IF(tbl_RIOT[[#This Row],[Avg_Upmove]]="", "", tbl_RIOT[[#This Row],[Avg_Upmove]]/tbl_RIOT[[#This Row],[Avg_Downmove]])</f>
        <v>3.0461538461538455</v>
      </c>
      <c r="S56" s="48">
        <f ca="1">IF(ROW($N56)-4&lt;BB_Periods, "", _xlfn.STDEV.S(INDIRECT(ADDRESS(ROW($F56)-RSI_Periods +1, MATCH("Adj Close", Price_Header,0))): INDIRECT(ADDRESS(ROW($F56),MATCH("Adj Close", Price_Header,0)))))</f>
        <v>0.41926102572539359</v>
      </c>
    </row>
    <row r="57" spans="1:19" x14ac:dyDescent="0.35">
      <c r="A57" s="8">
        <v>44126</v>
      </c>
      <c r="B57" s="48">
        <v>4.18</v>
      </c>
      <c r="C57" s="48">
        <v>4.26</v>
      </c>
      <c r="D57" s="48">
        <v>3.83</v>
      </c>
      <c r="E57" s="48">
        <v>4.0549999999999997</v>
      </c>
      <c r="F57" s="48">
        <v>4.0549999999999997</v>
      </c>
      <c r="G57">
        <v>15856100</v>
      </c>
      <c r="H57" s="48">
        <f>IF(tbl_RIOT[[#This Row],[Date]]=$A$5, $F57, EMA_Beta*$H56 + (1-EMA_Beta)*$F57)</f>
        <v>3.2875389017416357</v>
      </c>
      <c r="I57" s="46">
        <f ca="1">IF(tbl_RIOT[[#This Row],[RS]]= "", "", 100-(100/(1+tbl_RIOT[[#This Row],[RS]])))</f>
        <v>77.401129943502809</v>
      </c>
      <c r="J57" s="48">
        <f ca="1">IF(ROW($N57)-4&lt;BB_Periods, "", AVERAGE(INDIRECT(ADDRESS(ROW($F57)-RSI_Periods +1, MATCH("Adj Close", Price_Header,0))): INDIRECT(ADDRESS(ROW($F57),MATCH("Adj Close", Price_Header,0)))))</f>
        <v>3.246428571428571</v>
      </c>
      <c r="K57" s="48">
        <f ca="1">IF(tbl_RIOT[[#This Row],[BB_Mean]]="", "", tbl_RIOT[[#This Row],[BB_Mean]]+(BB_Width*tbl_RIOT[[#This Row],[BB_Stdev]]))</f>
        <v>4.1532016205634594</v>
      </c>
      <c r="L57" s="48">
        <f ca="1">IF(tbl_RIOT[[#This Row],[BB_Mean]]="", "", tbl_RIOT[[#This Row],[BB_Mean]]-(BB_Width*tbl_RIOT[[#This Row],[BB_Stdev]]))</f>
        <v>2.339655522293683</v>
      </c>
      <c r="M57" s="46">
        <f>IF(ROW(tbl_RIOT[[#This Row],[Adj Close]])=5, 0, $F57-$F56)</f>
        <v>7.4999999999999734E-2</v>
      </c>
      <c r="N57" s="46">
        <f>MAX(tbl_RIOT[[#This Row],[Move]],0)</f>
        <v>7.4999999999999734E-2</v>
      </c>
      <c r="O57" s="46">
        <f>MAX(-tbl_RIOT[[#This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0.1467857142857143</v>
      </c>
      <c r="Q57" s="46">
        <f ca="1">IF(ROW($O57)-5&lt;RSI_Periods, "", AVERAGE(INDIRECT(ADDRESS(ROW($O57)-RSI_Periods +1, MATCH("Downmove", Price_Header,0))): INDIRECT(ADDRESS(ROW($O57),MATCH("Downmove", Price_Header,0)))))</f>
        <v>4.2857142857142892E-2</v>
      </c>
      <c r="R57" s="46">
        <f ca="1">IF(tbl_RIOT[[#This Row],[Avg_Upmove]]="", "", tbl_RIOT[[#This Row],[Avg_Upmove]]/tbl_RIOT[[#This Row],[Avg_Downmove]])</f>
        <v>3.4249999999999976</v>
      </c>
      <c r="S57" s="48">
        <f ca="1">IF(ROW($N57)-4&lt;BB_Periods, "", _xlfn.STDEV.S(INDIRECT(ADDRESS(ROW($F57)-RSI_Periods +1, MATCH("Adj Close", Price_Header,0))): INDIRECT(ADDRESS(ROW($F57),MATCH("Adj Close", Price_Header,0)))))</f>
        <v>0.45338652456744399</v>
      </c>
    </row>
    <row r="58" spans="1:19" x14ac:dyDescent="0.35">
      <c r="A58" s="8">
        <v>44127</v>
      </c>
      <c r="B58" s="48">
        <v>3.97</v>
      </c>
      <c r="C58" s="48">
        <v>4.01</v>
      </c>
      <c r="D58" s="48">
        <v>3.68</v>
      </c>
      <c r="E58" s="48">
        <v>3.91</v>
      </c>
      <c r="F58" s="48">
        <v>3.91</v>
      </c>
      <c r="G58">
        <v>7305400</v>
      </c>
      <c r="H58" s="48">
        <f>IF(tbl_RIOT[[#This Row],[Date]]=$A$5, $F58, EMA_Beta*$H57 + (1-EMA_Beta)*$F58)</f>
        <v>3.3497850115674721</v>
      </c>
      <c r="I58" s="46">
        <f ca="1">IF(tbl_RIOT[[#This Row],[RS]]= "", "", 100-(100/(1+tbl_RIOT[[#This Row],[RS]])))</f>
        <v>72.810218978102185</v>
      </c>
      <c r="J58" s="48">
        <f ca="1">IF(ROW($N58)-4&lt;BB_Periods, "", AVERAGE(INDIRECT(ADDRESS(ROW($F58)-RSI_Periods +1, MATCH("Adj Close", Price_Header,0))): INDIRECT(ADDRESS(ROW($F58),MATCH("Adj Close", Price_Header,0)))))</f>
        <v>3.3357142857142859</v>
      </c>
      <c r="K58" s="48">
        <f ca="1">IF(tbl_RIOT[[#This Row],[BB_Mean]]="", "", tbl_RIOT[[#This Row],[BB_Mean]]+(BB_Width*tbl_RIOT[[#This Row],[BB_Stdev]]))</f>
        <v>4.2399084202711474</v>
      </c>
      <c r="L58" s="48">
        <f ca="1">IF(tbl_RIOT[[#This Row],[BB_Mean]]="", "", tbl_RIOT[[#This Row],[BB_Mean]]-(BB_Width*tbl_RIOT[[#This Row],[BB_Stdev]]))</f>
        <v>2.4315201511574238</v>
      </c>
      <c r="M58" s="46">
        <f>IF(ROW(tbl_RIOT[[#This Row],[Adj Close]])=5, 0, $F58-$F57)</f>
        <v>-0.14499999999999957</v>
      </c>
      <c r="N58" s="46">
        <f>MAX(tbl_RIOT[[#This Row],[Move]],0)</f>
        <v>0</v>
      </c>
      <c r="O58" s="46">
        <f>MAX(-tbl_RIOT[[#This Row],[Move]],0)</f>
        <v>0.14499999999999957</v>
      </c>
      <c r="P58" s="46">
        <f ca="1">IF(ROW($N58)-5&lt;RSI_Periods, "", AVERAGE(INDIRECT(ADDRESS(ROW($N58)-RSI_Periods +1, MATCH("Upmove", Price_Header,0))): INDIRECT(ADDRESS(ROW($N58),MATCH("Upmove", Price_Header,0)))))</f>
        <v>0.14250000000000002</v>
      </c>
      <c r="Q58" s="46">
        <f ca="1">IF(ROW($O58)-5&lt;RSI_Periods, "", AVERAGE(INDIRECT(ADDRESS(ROW($O58)-RSI_Periods +1, MATCH("Downmove", Price_Header,0))): INDIRECT(ADDRESS(ROW($O58),MATCH("Downmove", Price_Header,0)))))</f>
        <v>5.3214285714285721E-2</v>
      </c>
      <c r="R58" s="46">
        <f ca="1">IF(tbl_RIOT[[#This Row],[Avg_Upmove]]="", "", tbl_RIOT[[#This Row],[Avg_Upmove]]/tbl_RIOT[[#This Row],[Avg_Downmove]])</f>
        <v>2.6778523489932886</v>
      </c>
      <c r="S58" s="48">
        <f ca="1">IF(ROW($N58)-4&lt;BB_Periods, "", _xlfn.STDEV.S(INDIRECT(ADDRESS(ROW($F58)-RSI_Periods +1, MATCH("Adj Close", Price_Header,0))): INDIRECT(ADDRESS(ROW($F58),MATCH("Adj Close", Price_Header,0)))))</f>
        <v>0.45209706727843102</v>
      </c>
    </row>
    <row r="59" spans="1:19" x14ac:dyDescent="0.35">
      <c r="A59" s="8">
        <v>44130</v>
      </c>
      <c r="B59" s="48">
        <v>3.98</v>
      </c>
      <c r="C59" s="48">
        <v>4.03</v>
      </c>
      <c r="D59" s="48">
        <v>3.61</v>
      </c>
      <c r="E59" s="48">
        <v>3.85</v>
      </c>
      <c r="F59" s="48">
        <v>3.85</v>
      </c>
      <c r="G59">
        <v>6772300</v>
      </c>
      <c r="H59" s="48">
        <f>IF(tbl_RIOT[[#This Row],[Date]]=$A$5, $F59, EMA_Beta*$H58 + (1-EMA_Beta)*$F59)</f>
        <v>3.3998065104107247</v>
      </c>
      <c r="I59" s="46">
        <f ca="1">IF(tbl_RIOT[[#This Row],[RS]]= "", "", 100-(100/(1+tbl_RIOT[[#This Row],[RS]])))</f>
        <v>73.616236162361631</v>
      </c>
      <c r="J59" s="48">
        <f ca="1">IF(ROW($N59)-4&lt;BB_Periods, "", AVERAGE(INDIRECT(ADDRESS(ROW($F59)-RSI_Periods +1, MATCH("Adj Close", Price_Header,0))): INDIRECT(ADDRESS(ROW($F59),MATCH("Adj Close", Price_Header,0)))))</f>
        <v>3.427142857142857</v>
      </c>
      <c r="K59" s="48">
        <f ca="1">IF(tbl_RIOT[[#This Row],[BB_Mean]]="", "", tbl_RIOT[[#This Row],[BB_Mean]]+(BB_Width*tbl_RIOT[[#This Row],[BB_Stdev]]))</f>
        <v>4.2532990566197348</v>
      </c>
      <c r="L59" s="48">
        <f ca="1">IF(tbl_RIOT[[#This Row],[BB_Mean]]="", "", tbl_RIOT[[#This Row],[BB_Mean]]-(BB_Width*tbl_RIOT[[#This Row],[BB_Stdev]]))</f>
        <v>2.6009866576659797</v>
      </c>
      <c r="M59" s="46">
        <f>IF(ROW(tbl_RIOT[[#This Row],[Adj Close]])=5, 0, $F59-$F58)</f>
        <v>-6.0000000000000053E-2</v>
      </c>
      <c r="N59" s="46">
        <f>MAX(tbl_RIOT[[#This Row],[Move]],0)</f>
        <v>0</v>
      </c>
      <c r="O59" s="46">
        <f>MAX(-tbl_RIOT[[#This Row],[Move]],0)</f>
        <v>6.0000000000000053E-2</v>
      </c>
      <c r="P59" s="46">
        <f ca="1">IF(ROW($N59)-5&lt;RSI_Periods, "", AVERAGE(INDIRECT(ADDRESS(ROW($N59)-RSI_Periods +1, MATCH("Upmove", Price_Header,0))): INDIRECT(ADDRESS(ROW($N59),MATCH("Upmove", Price_Header,0)))))</f>
        <v>0.14250000000000002</v>
      </c>
      <c r="Q59" s="46">
        <f ca="1">IF(ROW($O59)-5&lt;RSI_Periods, "", AVERAGE(INDIRECT(ADDRESS(ROW($O59)-RSI_Periods +1, MATCH("Downmove", Price_Header,0))): INDIRECT(ADDRESS(ROW($O59),MATCH("Downmove", Price_Header,0)))))</f>
        <v>5.1071428571428559E-2</v>
      </c>
      <c r="R59" s="46">
        <f ca="1">IF(tbl_RIOT[[#This Row],[Avg_Upmove]]="", "", tbl_RIOT[[#This Row],[Avg_Upmove]]/tbl_RIOT[[#This Row],[Avg_Downmove]])</f>
        <v>2.7902097902097913</v>
      </c>
      <c r="S59" s="48">
        <f ca="1">IF(ROW($N59)-4&lt;BB_Periods, "", _xlfn.STDEV.S(INDIRECT(ADDRESS(ROW($F59)-RSI_Periods +1, MATCH("Adj Close", Price_Header,0))): INDIRECT(ADDRESS(ROW($F59),MATCH("Adj Close", Price_Header,0)))))</f>
        <v>0.41307809973843873</v>
      </c>
    </row>
    <row r="60" spans="1:19" x14ac:dyDescent="0.35">
      <c r="A60" s="8">
        <v>44131</v>
      </c>
      <c r="B60" s="48">
        <v>4.03</v>
      </c>
      <c r="C60" s="48">
        <v>4.16</v>
      </c>
      <c r="D60" s="48">
        <v>3.86</v>
      </c>
      <c r="E60" s="48">
        <v>4.0199999999999996</v>
      </c>
      <c r="F60" s="48">
        <v>4.0199999999999996</v>
      </c>
      <c r="G60">
        <v>10807100</v>
      </c>
      <c r="H60" s="48">
        <f>IF(tbl_RIOT[[#This Row],[Date]]=$A$5, $F60, EMA_Beta*$H59 + (1-EMA_Beta)*$F60)</f>
        <v>3.461825859369652</v>
      </c>
      <c r="I60" s="46">
        <f ca="1">IF(tbl_RIOT[[#This Row],[RS]]= "", "", 100-(100/(1+tbl_RIOT[[#This Row],[RS]])))</f>
        <v>74.372759856630822</v>
      </c>
      <c r="J60" s="48">
        <f ca="1">IF(ROW($N60)-4&lt;BB_Periods, "", AVERAGE(INDIRECT(ADDRESS(ROW($F60)-RSI_Periods +1, MATCH("Adj Close", Price_Header,0))): INDIRECT(ADDRESS(ROW($F60),MATCH("Adj Close", Price_Header,0)))))</f>
        <v>3.5242857142857145</v>
      </c>
      <c r="K60" s="48">
        <f ca="1">IF(tbl_RIOT[[#This Row],[BB_Mean]]="", "", tbl_RIOT[[#This Row],[BB_Mean]]+(BB_Width*tbl_RIOT[[#This Row],[BB_Stdev]]))</f>
        <v>4.2785745504430857</v>
      </c>
      <c r="L60" s="48">
        <f ca="1">IF(tbl_RIOT[[#This Row],[BB_Mean]]="", "", tbl_RIOT[[#This Row],[BB_Mean]]-(BB_Width*tbl_RIOT[[#This Row],[BB_Stdev]]))</f>
        <v>2.7699968781283433</v>
      </c>
      <c r="M60" s="46">
        <f>IF(ROW(tbl_RIOT[[#This Row],[Adj Close]])=5, 0, $F60-$F59)</f>
        <v>0.16999999999999948</v>
      </c>
      <c r="N60" s="46">
        <f>MAX(tbl_RIOT[[#This Row],[Move]],0)</f>
        <v>0.16999999999999948</v>
      </c>
      <c r="O60" s="46">
        <f>MAX(-tbl_RIOT[[#This Row],[Move]],0)</f>
        <v>0</v>
      </c>
      <c r="P60" s="46">
        <f ca="1">IF(ROW($N60)-5&lt;RSI_Periods, "", AVERAGE(INDIRECT(ADDRESS(ROW($N60)-RSI_Periods +1, MATCH("Upmove", Price_Header,0))): INDIRECT(ADDRESS(ROW($N60),MATCH("Upmove", Price_Header,0)))))</f>
        <v>0.14821428571428566</v>
      </c>
      <c r="Q60" s="46">
        <f ca="1">IF(ROW($O60)-5&lt;RSI_Periods, "", AVERAGE(INDIRECT(ADDRESS(ROW($O60)-RSI_Periods +1, MATCH("Downmove", Price_Header,0))): INDIRECT(ADDRESS(ROW($O60),MATCH("Downmove", Price_Header,0)))))</f>
        <v>5.1071428571428559E-2</v>
      </c>
      <c r="R60" s="46">
        <f ca="1">IF(tbl_RIOT[[#This Row],[Avg_Upmove]]="", "", tbl_RIOT[[#This Row],[Avg_Upmove]]/tbl_RIOT[[#This Row],[Avg_Downmove]])</f>
        <v>2.9020979020979016</v>
      </c>
      <c r="S60" s="48">
        <f ca="1">IF(ROW($N60)-4&lt;BB_Periods, "", _xlfn.STDEV.S(INDIRECT(ADDRESS(ROW($F60)-RSI_Periods +1, MATCH("Adj Close", Price_Header,0))): INDIRECT(ADDRESS(ROW($F60),MATCH("Adj Close", Price_Header,0)))))</f>
        <v>0.37714441807868565</v>
      </c>
    </row>
    <row r="61" spans="1:19" x14ac:dyDescent="0.35">
      <c r="A61" s="8">
        <v>44132</v>
      </c>
      <c r="B61" s="48">
        <v>3.71</v>
      </c>
      <c r="C61" s="48">
        <v>3.83</v>
      </c>
      <c r="D61" s="48">
        <v>3.36</v>
      </c>
      <c r="E61" s="48">
        <v>3.5</v>
      </c>
      <c r="F61" s="48">
        <v>3.5</v>
      </c>
      <c r="G61">
        <v>8592400</v>
      </c>
      <c r="H61" s="48">
        <f>IF(tbl_RIOT[[#This Row],[Date]]=$A$5, $F61, EMA_Beta*$H60 + (1-EMA_Beta)*$F61)</f>
        <v>3.4656432734326872</v>
      </c>
      <c r="I61" s="46">
        <f ca="1">IF(tbl_RIOT[[#This Row],[RS]]= "", "", 100-(100/(1+tbl_RIOT[[#This Row],[RS]])))</f>
        <v>59.375</v>
      </c>
      <c r="J61" s="48">
        <f ca="1">IF(ROW($N61)-4&lt;BB_Periods, "", AVERAGE(INDIRECT(ADDRESS(ROW($F61)-RSI_Periods +1, MATCH("Adj Close", Price_Header,0))): INDIRECT(ADDRESS(ROW($F61),MATCH("Adj Close", Price_Header,0)))))</f>
        <v>3.5649999999999999</v>
      </c>
      <c r="K61" s="48">
        <f ca="1">IF(tbl_RIOT[[#This Row],[BB_Mean]]="", "", tbl_RIOT[[#This Row],[BB_Mean]]+(BB_Width*tbl_RIOT[[#This Row],[BB_Stdev]]))</f>
        <v>4.2382927126614964</v>
      </c>
      <c r="L61" s="48">
        <f ca="1">IF(tbl_RIOT[[#This Row],[BB_Mean]]="", "", tbl_RIOT[[#This Row],[BB_Mean]]-(BB_Width*tbl_RIOT[[#This Row],[BB_Stdev]]))</f>
        <v>2.8917072873385035</v>
      </c>
      <c r="M61" s="46">
        <f>IF(ROW(tbl_RIOT[[#This Row],[Adj Close]])=5, 0, $F61-$F60)</f>
        <v>-0.51999999999999957</v>
      </c>
      <c r="N61" s="46">
        <f>MAX(tbl_RIOT[[#This Row],[Move]],0)</f>
        <v>0</v>
      </c>
      <c r="O61" s="46">
        <f>MAX(-tbl_RIOT[[#This Row],[Move]],0)</f>
        <v>0.51999999999999957</v>
      </c>
      <c r="P61" s="46">
        <f ca="1">IF(ROW($N61)-5&lt;RSI_Periods, "", AVERAGE(INDIRECT(ADDRESS(ROW($N61)-RSI_Periods +1, MATCH("Upmove", Price_Header,0))): INDIRECT(ADDRESS(ROW($N61),MATCH("Upmove", Price_Header,0)))))</f>
        <v>0.12892857142857136</v>
      </c>
      <c r="Q61" s="46">
        <f ca="1">IF(ROW($O61)-5&lt;RSI_Periods, "", AVERAGE(INDIRECT(ADDRESS(ROW($O61)-RSI_Periods +1, MATCH("Downmove", Price_Header,0))): INDIRECT(ADDRESS(ROW($O61),MATCH("Downmove", Price_Header,0)))))</f>
        <v>8.8214285714285676E-2</v>
      </c>
      <c r="R61" s="46">
        <f ca="1">IF(tbl_RIOT[[#This Row],[Avg_Upmove]]="", "", tbl_RIOT[[#This Row],[Avg_Upmove]]/tbl_RIOT[[#This Row],[Avg_Downmove]])</f>
        <v>1.4615384615384615</v>
      </c>
      <c r="S61" s="48">
        <f ca="1">IF(ROW($N61)-4&lt;BB_Periods, "", _xlfn.STDEV.S(INDIRECT(ADDRESS(ROW($F61)-RSI_Periods +1, MATCH("Adj Close", Price_Header,0))): INDIRECT(ADDRESS(ROW($F61),MATCH("Adj Close", Price_Header,0)))))</f>
        <v>0.33664635633074835</v>
      </c>
    </row>
    <row r="62" spans="1:19" x14ac:dyDescent="0.35">
      <c r="A62" s="8">
        <v>44133</v>
      </c>
      <c r="B62" s="48">
        <v>3.5</v>
      </c>
      <c r="C62" s="48">
        <v>3.73</v>
      </c>
      <c r="D62" s="48">
        <v>3.44</v>
      </c>
      <c r="E62" s="48">
        <v>3.55</v>
      </c>
      <c r="F62" s="48">
        <v>3.55</v>
      </c>
      <c r="G62">
        <v>4609800</v>
      </c>
      <c r="H62" s="48">
        <f>IF(tbl_RIOT[[#This Row],[Date]]=$A$5, $F62, EMA_Beta*$H61 + (1-EMA_Beta)*$F62)</f>
        <v>3.4740789460894184</v>
      </c>
      <c r="I62" s="46">
        <f ca="1">IF(tbl_RIOT[[#This Row],[RS]]= "", "", 100-(100/(1+tbl_RIOT[[#This Row],[RS]])))</f>
        <v>57.777777777777771</v>
      </c>
      <c r="J62" s="48">
        <f ca="1">IF(ROW($N62)-4&lt;BB_Periods, "", AVERAGE(INDIRECT(ADDRESS(ROW($F62)-RSI_Periods +1, MATCH("Adj Close", Price_Header,0))): INDIRECT(ADDRESS(ROW($F62),MATCH("Adj Close", Price_Header,0)))))</f>
        <v>3.5974999999999997</v>
      </c>
      <c r="K62" s="48">
        <f ca="1">IF(tbl_RIOT[[#This Row],[BB_Mean]]="", "", tbl_RIOT[[#This Row],[BB_Mean]]+(BB_Width*tbl_RIOT[[#This Row],[BB_Stdev]]))</f>
        <v>4.2146491528982892</v>
      </c>
      <c r="L62" s="48">
        <f ca="1">IF(tbl_RIOT[[#This Row],[BB_Mean]]="", "", tbl_RIOT[[#This Row],[BB_Mean]]-(BB_Width*tbl_RIOT[[#This Row],[BB_Stdev]]))</f>
        <v>2.9803508471017097</v>
      </c>
      <c r="M62" s="46">
        <f>IF(ROW(tbl_RIOT[[#This Row],[Adj Close]])=5, 0, $F62-$F61)</f>
        <v>4.9999999999999822E-2</v>
      </c>
      <c r="N62" s="46">
        <f>MAX(tbl_RIOT[[#This Row],[Move]],0)</f>
        <v>4.9999999999999822E-2</v>
      </c>
      <c r="O62" s="46">
        <f>MAX(-tbl_RIOT[[#This Row],[Move]],0)</f>
        <v>0</v>
      </c>
      <c r="P62" s="46">
        <f ca="1">IF(ROW($N62)-5&lt;RSI_Periods, "", AVERAGE(INDIRECT(ADDRESS(ROW($N62)-RSI_Periods +1, MATCH("Upmove", Price_Header,0))): INDIRECT(ADDRESS(ROW($N62),MATCH("Upmove", Price_Header,0)))))</f>
        <v>0.12071428571428565</v>
      </c>
      <c r="Q62" s="46">
        <f ca="1">IF(ROW($O62)-5&lt;RSI_Periods, "", AVERAGE(INDIRECT(ADDRESS(ROW($O62)-RSI_Periods +1, MATCH("Downmove", Price_Header,0))): INDIRECT(ADDRESS(ROW($O62),MATCH("Downmove", Price_Header,0)))))</f>
        <v>8.8214285714285676E-2</v>
      </c>
      <c r="R62" s="46">
        <f ca="1">IF(tbl_RIOT[[#This Row],[Avg_Upmove]]="", "", tbl_RIOT[[#This Row],[Avg_Upmove]]/tbl_RIOT[[#This Row],[Avg_Downmove]])</f>
        <v>1.3684210526315788</v>
      </c>
      <c r="S62" s="48">
        <f ca="1">IF(ROW($N62)-4&lt;BB_Periods, "", _xlfn.STDEV.S(INDIRECT(ADDRESS(ROW($F62)-RSI_Periods +1, MATCH("Adj Close", Price_Header,0))): INDIRECT(ADDRESS(ROW($F62),MATCH("Adj Close", Price_Header,0)))))</f>
        <v>0.30857457644914499</v>
      </c>
    </row>
    <row r="63" spans="1:19" x14ac:dyDescent="0.35">
      <c r="A63" s="8">
        <v>44134</v>
      </c>
      <c r="B63" s="48">
        <v>3.48</v>
      </c>
      <c r="C63" s="48">
        <v>3.54</v>
      </c>
      <c r="D63" s="48">
        <v>3.18</v>
      </c>
      <c r="E63" s="48">
        <v>3.27</v>
      </c>
      <c r="F63" s="48">
        <v>3.27</v>
      </c>
      <c r="G63">
        <v>6904900</v>
      </c>
      <c r="H63" s="48">
        <f>IF(tbl_RIOT[[#This Row],[Date]]=$A$5, $F63, EMA_Beta*$H62 + (1-EMA_Beta)*$F63)</f>
        <v>3.4536710514804767</v>
      </c>
      <c r="I63" s="46">
        <f ca="1">IF(tbl_RIOT[[#This Row],[RS]]= "", "", 100-(100/(1+tbl_RIOT[[#This Row],[RS]])))</f>
        <v>45.892857142857139</v>
      </c>
      <c r="J63" s="48">
        <f ca="1">IF(ROW($N63)-4&lt;BB_Periods, "", AVERAGE(INDIRECT(ADDRESS(ROW($F63)-RSI_Periods +1, MATCH("Adj Close", Price_Header,0))): INDIRECT(ADDRESS(ROW($F63),MATCH("Adj Close", Price_Header,0)))))</f>
        <v>3.5810714285714282</v>
      </c>
      <c r="K63" s="48">
        <f ca="1">IF(tbl_RIOT[[#This Row],[BB_Mean]]="", "", tbl_RIOT[[#This Row],[BB_Mean]]+(BB_Width*tbl_RIOT[[#This Row],[BB_Stdev]]))</f>
        <v>4.2212177888964426</v>
      </c>
      <c r="L63" s="48">
        <f ca="1">IF(tbl_RIOT[[#This Row],[BB_Mean]]="", "", tbl_RIOT[[#This Row],[BB_Mean]]-(BB_Width*tbl_RIOT[[#This Row],[BB_Stdev]]))</f>
        <v>2.9409250682464143</v>
      </c>
      <c r="M63" s="46">
        <f>IF(ROW(tbl_RIOT[[#This Row],[Adj Close]])=5, 0, $F63-$F62)</f>
        <v>-0.2799999999999998</v>
      </c>
      <c r="N63" s="46">
        <f>MAX(tbl_RIOT[[#This Row],[Move]],0)</f>
        <v>0</v>
      </c>
      <c r="O63" s="46">
        <f>MAX(-tbl_RIOT[[#This Row],[Move]],0)</f>
        <v>0.2799999999999998</v>
      </c>
      <c r="P63" s="46">
        <f ca="1">IF(ROW($N63)-5&lt;RSI_Periods, "", AVERAGE(INDIRECT(ADDRESS(ROW($N63)-RSI_Periods +1, MATCH("Upmove", Price_Header,0))): INDIRECT(ADDRESS(ROW($N63),MATCH("Upmove", Price_Header,0)))))</f>
        <v>9.1785714285714234E-2</v>
      </c>
      <c r="Q63" s="46">
        <f ca="1">IF(ROW($O63)-5&lt;RSI_Periods, "", AVERAGE(INDIRECT(ADDRESS(ROW($O63)-RSI_Periods +1, MATCH("Downmove", Price_Header,0))): INDIRECT(ADDRESS(ROW($O63),MATCH("Downmove", Price_Header,0)))))</f>
        <v>0.10821428571428567</v>
      </c>
      <c r="R63" s="46">
        <f ca="1">IF(tbl_RIOT[[#This Row],[Avg_Upmove]]="", "", tbl_RIOT[[#This Row],[Avg_Upmove]]/tbl_RIOT[[#This Row],[Avg_Downmove]])</f>
        <v>0.84818481848184812</v>
      </c>
      <c r="S63" s="48">
        <f ca="1">IF(ROW($N63)-4&lt;BB_Periods, "", _xlfn.STDEV.S(INDIRECT(ADDRESS(ROW($F63)-RSI_Periods +1, MATCH("Adj Close", Price_Header,0))): INDIRECT(ADDRESS(ROW($F63),MATCH("Adj Close", Price_Header,0)))))</f>
        <v>0.32007318016250697</v>
      </c>
    </row>
    <row r="64" spans="1:19" x14ac:dyDescent="0.35">
      <c r="A64" s="8">
        <v>44137</v>
      </c>
      <c r="B64" s="48">
        <v>3.26</v>
      </c>
      <c r="C64" s="48">
        <v>3.39</v>
      </c>
      <c r="D64" s="48">
        <v>3.14</v>
      </c>
      <c r="E64" s="48">
        <v>3.29</v>
      </c>
      <c r="F64" s="48">
        <v>3.29</v>
      </c>
      <c r="G64">
        <v>3253500</v>
      </c>
      <c r="H64" s="48">
        <f>IF(tbl_RIOT[[#This Row],[Date]]=$A$5, $F64, EMA_Beta*$H63 + (1-EMA_Beta)*$F64)</f>
        <v>3.4373039463324289</v>
      </c>
      <c r="I64" s="46">
        <f ca="1">IF(tbl_RIOT[[#This Row],[RS]]= "", "", 100-(100/(1+tbl_RIOT[[#This Row],[RS]])))</f>
        <v>48.513011152416361</v>
      </c>
      <c r="J64" s="48">
        <f ca="1">IF(ROW($N64)-4&lt;BB_Periods, "", AVERAGE(INDIRECT(ADDRESS(ROW($F64)-RSI_Periods +1, MATCH("Adj Close", Price_Header,0))): INDIRECT(ADDRESS(ROW($F64),MATCH("Adj Close", Price_Header,0)))))</f>
        <v>3.5753571428571425</v>
      </c>
      <c r="K64" s="48">
        <f ca="1">IF(tbl_RIOT[[#This Row],[BB_Mean]]="", "", tbl_RIOT[[#This Row],[BB_Mean]]+(BB_Width*tbl_RIOT[[#This Row],[BB_Stdev]]))</f>
        <v>4.2249779113499173</v>
      </c>
      <c r="L64" s="48">
        <f ca="1">IF(tbl_RIOT[[#This Row],[BB_Mean]]="", "", tbl_RIOT[[#This Row],[BB_Mean]]-(BB_Width*tbl_RIOT[[#This Row],[BB_Stdev]]))</f>
        <v>2.9257363743643681</v>
      </c>
      <c r="M64" s="46">
        <f>IF(ROW(tbl_RIOT[[#This Row],[Adj Close]])=5, 0, $F64-$F63)</f>
        <v>2.0000000000000018E-2</v>
      </c>
      <c r="N64" s="46">
        <f>MAX(tbl_RIOT[[#This Row],[Move]],0)</f>
        <v>2.0000000000000018E-2</v>
      </c>
      <c r="O64" s="46">
        <f>MAX(-tbl_RIOT[[#This Row],[Move]],0)</f>
        <v>0</v>
      </c>
      <c r="P64" s="46">
        <f ca="1">IF(ROW($N64)-5&lt;RSI_Periods, "", AVERAGE(INDIRECT(ADDRESS(ROW($N64)-RSI_Periods +1, MATCH("Upmove", Price_Header,0))): INDIRECT(ADDRESS(ROW($N64),MATCH("Upmove", Price_Header,0)))))</f>
        <v>9.3214285714285666E-2</v>
      </c>
      <c r="Q64" s="46">
        <f ca="1">IF(ROW($O64)-5&lt;RSI_Periods, "", AVERAGE(INDIRECT(ADDRESS(ROW($O64)-RSI_Periods +1, MATCH("Downmove", Price_Header,0))): INDIRECT(ADDRESS(ROW($O64),MATCH("Downmove", Price_Header,0)))))</f>
        <v>9.892857142857138E-2</v>
      </c>
      <c r="R64" s="46">
        <f ca="1">IF(tbl_RIOT[[#This Row],[Avg_Upmove]]="", "", tbl_RIOT[[#This Row],[Avg_Upmove]]/tbl_RIOT[[#This Row],[Avg_Downmove]])</f>
        <v>0.9422382671480144</v>
      </c>
      <c r="S64" s="48">
        <f ca="1">IF(ROW($N64)-4&lt;BB_Periods, "", _xlfn.STDEV.S(INDIRECT(ADDRESS(ROW($F64)-RSI_Periods +1, MATCH("Adj Close", Price_Header,0))): INDIRECT(ADDRESS(ROW($F64),MATCH("Adj Close", Price_Header,0)))))</f>
        <v>0.32481038424638725</v>
      </c>
    </row>
    <row r="65" spans="1:19" x14ac:dyDescent="0.35">
      <c r="A65" s="8">
        <v>44138</v>
      </c>
      <c r="B65" s="48">
        <v>3.35</v>
      </c>
      <c r="C65" s="48">
        <v>3.59</v>
      </c>
      <c r="D65" s="48">
        <v>3.298</v>
      </c>
      <c r="E65" s="48">
        <v>3.5</v>
      </c>
      <c r="F65" s="48">
        <v>3.5</v>
      </c>
      <c r="G65">
        <v>5559600</v>
      </c>
      <c r="H65" s="48">
        <f>IF(tbl_RIOT[[#This Row],[Date]]=$A$5, $F65, EMA_Beta*$H64 + (1-EMA_Beta)*$F65)</f>
        <v>3.4435735516991861</v>
      </c>
      <c r="I65" s="46">
        <f ca="1">IF(tbl_RIOT[[#This Row],[RS]]= "", "", 100-(100/(1+tbl_RIOT[[#This Row],[RS]])))</f>
        <v>53.914590747330969</v>
      </c>
      <c r="J65" s="48">
        <f ca="1">IF(ROW($N65)-4&lt;BB_Periods, "", AVERAGE(INDIRECT(ADDRESS(ROW($F65)-RSI_Periods +1, MATCH("Adj Close", Price_Header,0))): INDIRECT(ADDRESS(ROW($F65),MATCH("Adj Close", Price_Header,0)))))</f>
        <v>3.5910714285714285</v>
      </c>
      <c r="K65" s="48">
        <f ca="1">IF(tbl_RIOT[[#This Row],[BB_Mean]]="", "", tbl_RIOT[[#This Row],[BB_Mean]]+(BB_Width*tbl_RIOT[[#This Row],[BB_Stdev]]))</f>
        <v>4.2202366700612144</v>
      </c>
      <c r="L65" s="48">
        <f ca="1">IF(tbl_RIOT[[#This Row],[BB_Mean]]="", "", tbl_RIOT[[#This Row],[BB_Mean]]-(BB_Width*tbl_RIOT[[#This Row],[BB_Stdev]]))</f>
        <v>2.9619061870816421</v>
      </c>
      <c r="M65" s="46">
        <f>IF(ROW(tbl_RIOT[[#This Row],[Adj Close]])=5, 0, $F65-$F64)</f>
        <v>0.20999999999999996</v>
      </c>
      <c r="N65" s="46">
        <f>MAX(tbl_RIOT[[#This Row],[Move]],0)</f>
        <v>0.20999999999999996</v>
      </c>
      <c r="O65" s="46">
        <f>MAX(-tbl_RIOT[[#This Row],[Move]],0)</f>
        <v>0</v>
      </c>
      <c r="P65" s="46">
        <f ca="1">IF(ROW($N65)-5&lt;RSI_Periods, "", AVERAGE(INDIRECT(ADDRESS(ROW($N65)-RSI_Periods +1, MATCH("Upmove", Price_Header,0))): INDIRECT(ADDRESS(ROW($N65),MATCH("Upmove", Price_Header,0)))))</f>
        <v>0.10821428571428567</v>
      </c>
      <c r="Q65" s="46">
        <f ca="1">IF(ROW($O65)-5&lt;RSI_Periods, "", AVERAGE(INDIRECT(ADDRESS(ROW($O65)-RSI_Periods +1, MATCH("Downmove", Price_Header,0))): INDIRECT(ADDRESS(ROW($O65),MATCH("Downmove", Price_Header,0)))))</f>
        <v>9.249999999999993E-2</v>
      </c>
      <c r="R65" s="46">
        <f ca="1">IF(tbl_RIOT[[#This Row],[Avg_Upmove]]="", "", tbl_RIOT[[#This Row],[Avg_Upmove]]/tbl_RIOT[[#This Row],[Avg_Downmove]])</f>
        <v>1.1698841698841702</v>
      </c>
      <c r="S65" s="48">
        <f ca="1">IF(ROW($N65)-4&lt;BB_Periods, "", _xlfn.STDEV.S(INDIRECT(ADDRESS(ROW($F65)-RSI_Periods +1, MATCH("Adj Close", Price_Header,0))): INDIRECT(ADDRESS(ROW($F65),MATCH("Adj Close", Price_Header,0)))))</f>
        <v>0.31458262074489313</v>
      </c>
    </row>
    <row r="66" spans="1:19" x14ac:dyDescent="0.35">
      <c r="A66" s="8">
        <v>44139</v>
      </c>
      <c r="B66" s="48">
        <v>3.59</v>
      </c>
      <c r="C66" s="48">
        <v>3.73</v>
      </c>
      <c r="D66" s="48">
        <v>3.38</v>
      </c>
      <c r="E66" s="48">
        <v>3.55</v>
      </c>
      <c r="F66" s="48">
        <v>3.55</v>
      </c>
      <c r="G66">
        <v>7842100</v>
      </c>
      <c r="H66" s="48">
        <f>IF(tbl_RIOT[[#This Row],[Date]]=$A$5, $F66, EMA_Beta*$H65 + (1-EMA_Beta)*$F66)</f>
        <v>3.4542161965292677</v>
      </c>
      <c r="I66" s="46">
        <f ca="1">IF(tbl_RIOT[[#This Row],[RS]]= "", "", 100-(100/(1+tbl_RIOT[[#This Row],[RS]])))</f>
        <v>52.737226277372265</v>
      </c>
      <c r="J66" s="48">
        <f ca="1">IF(ROW($N66)-4&lt;BB_Periods, "", AVERAGE(INDIRECT(ADDRESS(ROW($F66)-RSI_Periods +1, MATCH("Adj Close", Price_Header,0))): INDIRECT(ADDRESS(ROW($F66),MATCH("Adj Close", Price_Header,0)))))</f>
        <v>3.6017857142857141</v>
      </c>
      <c r="K66" s="48">
        <f ca="1">IF(tbl_RIOT[[#This Row],[BB_Mean]]="", "", tbl_RIOT[[#This Row],[BB_Mean]]+(BB_Width*tbl_RIOT[[#This Row],[BB_Stdev]]))</f>
        <v>4.2219793210651693</v>
      </c>
      <c r="L66" s="48">
        <f ca="1">IF(tbl_RIOT[[#This Row],[BB_Mean]]="", "", tbl_RIOT[[#This Row],[BB_Mean]]-(BB_Width*tbl_RIOT[[#This Row],[BB_Stdev]]))</f>
        <v>2.9815921075062586</v>
      </c>
      <c r="M66" s="46">
        <f>IF(ROW(tbl_RIOT[[#This Row],[Adj Close]])=5, 0, $F66-$F65)</f>
        <v>4.9999999999999822E-2</v>
      </c>
      <c r="N66" s="46">
        <f>MAX(tbl_RIOT[[#This Row],[Move]],0)</f>
        <v>4.9999999999999822E-2</v>
      </c>
      <c r="O66" s="46">
        <f>MAX(-tbl_RIOT[[#This Row],[Move]],0)</f>
        <v>0</v>
      </c>
      <c r="P66" s="46">
        <f ca="1">IF(ROW($N66)-5&lt;RSI_Periods, "", AVERAGE(INDIRECT(ADDRESS(ROW($N66)-RSI_Periods +1, MATCH("Upmove", Price_Header,0))): INDIRECT(ADDRESS(ROW($N66),MATCH("Upmove", Price_Header,0)))))</f>
        <v>0.10321428571428563</v>
      </c>
      <c r="Q66" s="46">
        <f ca="1">IF(ROW($O66)-5&lt;RSI_Periods, "", AVERAGE(INDIRECT(ADDRESS(ROW($O66)-RSI_Periods +1, MATCH("Downmove", Price_Header,0))): INDIRECT(ADDRESS(ROW($O66),MATCH("Downmove", Price_Header,0)))))</f>
        <v>9.249999999999993E-2</v>
      </c>
      <c r="R66" s="46">
        <f ca="1">IF(tbl_RIOT[[#This Row],[Avg_Upmove]]="", "", tbl_RIOT[[#This Row],[Avg_Upmove]]/tbl_RIOT[[#This Row],[Avg_Downmove]])</f>
        <v>1.1158301158301158</v>
      </c>
      <c r="S66" s="48">
        <f ca="1">IF(ROW($N66)-4&lt;BB_Periods, "", _xlfn.STDEV.S(INDIRECT(ADDRESS(ROW($F66)-RSI_Periods +1, MATCH("Adj Close", Price_Header,0))): INDIRECT(ADDRESS(ROW($F66),MATCH("Adj Close", Price_Header,0)))))</f>
        <v>0.31009680338972773</v>
      </c>
    </row>
    <row r="67" spans="1:19" x14ac:dyDescent="0.35">
      <c r="A67" s="8">
        <v>44140</v>
      </c>
      <c r="B67" s="48">
        <v>3.83</v>
      </c>
      <c r="C67" s="48">
        <v>3.98</v>
      </c>
      <c r="D67" s="48">
        <v>3.66</v>
      </c>
      <c r="E67" s="48">
        <v>3.75</v>
      </c>
      <c r="F67" s="48">
        <v>3.75</v>
      </c>
      <c r="G67">
        <v>11977200</v>
      </c>
      <c r="H67" s="48">
        <f>IF(tbl_RIOT[[#This Row],[Date]]=$A$5, $F67, EMA_Beta*$H66 + (1-EMA_Beta)*$F67)</f>
        <v>3.483794576876341</v>
      </c>
      <c r="I67" s="46">
        <f ca="1">IF(tbl_RIOT[[#This Row],[RS]]= "", "", 100-(100/(1+tbl_RIOT[[#This Row],[RS]])))</f>
        <v>62.075471698113219</v>
      </c>
      <c r="J67" s="48">
        <f ca="1">IF(ROW($N67)-4&lt;BB_Periods, "", AVERAGE(INDIRECT(ADDRESS(ROW($F67)-RSI_Periods +1, MATCH("Adj Close", Price_Header,0))): INDIRECT(ADDRESS(ROW($F67),MATCH("Adj Close", Price_Header,0)))))</f>
        <v>3.6475</v>
      </c>
      <c r="K67" s="48">
        <f ca="1">IF(tbl_RIOT[[#This Row],[BB_Mean]]="", "", tbl_RIOT[[#This Row],[BB_Mean]]+(BB_Width*tbl_RIOT[[#This Row],[BB_Stdev]]))</f>
        <v>4.2024601510295749</v>
      </c>
      <c r="L67" s="48">
        <f ca="1">IF(tbl_RIOT[[#This Row],[BB_Mean]]="", "", tbl_RIOT[[#This Row],[BB_Mean]]-(BB_Width*tbl_RIOT[[#This Row],[BB_Stdev]]))</f>
        <v>3.0925398489704246</v>
      </c>
      <c r="M67" s="46">
        <f>IF(ROW(tbl_RIOT[[#This Row],[Adj Close]])=5, 0, $F67-$F66)</f>
        <v>0.20000000000000018</v>
      </c>
      <c r="N67" s="46">
        <f>MAX(tbl_RIOT[[#This Row],[Move]],0)</f>
        <v>0.20000000000000018</v>
      </c>
      <c r="O67" s="46">
        <f>MAX(-tbl_RIOT[[#This Row],[Move]],0)</f>
        <v>0</v>
      </c>
      <c r="P67" s="46">
        <f ca="1">IF(ROW($N67)-5&lt;RSI_Periods, "", AVERAGE(INDIRECT(ADDRESS(ROW($N67)-RSI_Periods +1, MATCH("Upmove", Price_Header,0))): INDIRECT(ADDRESS(ROW($N67),MATCH("Upmove", Price_Header,0)))))</f>
        <v>0.11749999999999994</v>
      </c>
      <c r="Q67" s="46">
        <f ca="1">IF(ROW($O67)-5&lt;RSI_Periods, "", AVERAGE(INDIRECT(ADDRESS(ROW($O67)-RSI_Periods +1, MATCH("Downmove", Price_Header,0))): INDIRECT(ADDRESS(ROW($O67),MATCH("Downmove", Price_Header,0)))))</f>
        <v>7.1785714285714217E-2</v>
      </c>
      <c r="R67" s="46">
        <f ca="1">IF(tbl_RIOT[[#This Row],[Avg_Upmove]]="", "", tbl_RIOT[[#This Row],[Avg_Upmove]]/tbl_RIOT[[#This Row],[Avg_Downmove]])</f>
        <v>1.6368159203980106</v>
      </c>
      <c r="S67" s="48">
        <f ca="1">IF(ROW($N67)-4&lt;BB_Periods, "", _xlfn.STDEV.S(INDIRECT(ADDRESS(ROW($F67)-RSI_Periods +1, MATCH("Adj Close", Price_Header,0))): INDIRECT(ADDRESS(ROW($F67),MATCH("Adj Close", Price_Header,0)))))</f>
        <v>0.27748007551478771</v>
      </c>
    </row>
    <row r="68" spans="1:19" x14ac:dyDescent="0.35">
      <c r="A68" s="8">
        <v>44141</v>
      </c>
      <c r="B68" s="48">
        <v>3.82</v>
      </c>
      <c r="C68" s="48">
        <v>3.82</v>
      </c>
      <c r="D68" s="48">
        <v>3.61</v>
      </c>
      <c r="E68" s="48">
        <v>3.65</v>
      </c>
      <c r="F68" s="48">
        <v>3.65</v>
      </c>
      <c r="G68">
        <v>5328900</v>
      </c>
      <c r="H68" s="48">
        <f>IF(tbl_RIOT[[#This Row],[Date]]=$A$5, $F68, EMA_Beta*$H67 + (1-EMA_Beta)*$F68)</f>
        <v>3.5004151191887067</v>
      </c>
      <c r="I68" s="46">
        <f ca="1">IF(tbl_RIOT[[#This Row],[RS]]= "", "", 100-(100/(1+tbl_RIOT[[#This Row],[RS]])))</f>
        <v>56.835937500000014</v>
      </c>
      <c r="J68" s="48">
        <f ca="1">IF(ROW($N68)-4&lt;BB_Periods, "", AVERAGE(INDIRECT(ADDRESS(ROW($F68)-RSI_Periods +1, MATCH("Adj Close", Price_Header,0))): INDIRECT(ADDRESS(ROW($F68),MATCH("Adj Close", Price_Header,0)))))</f>
        <v>3.6724999999999999</v>
      </c>
      <c r="K68" s="48">
        <f ca="1">IF(tbl_RIOT[[#This Row],[BB_Mean]]="", "", tbl_RIOT[[#This Row],[BB_Mean]]+(BB_Width*tbl_RIOT[[#This Row],[BB_Stdev]]))</f>
        <v>4.1903171640498362</v>
      </c>
      <c r="L68" s="48">
        <f ca="1">IF(tbl_RIOT[[#This Row],[BB_Mean]]="", "", tbl_RIOT[[#This Row],[BB_Mean]]-(BB_Width*tbl_RIOT[[#This Row],[BB_Stdev]]))</f>
        <v>3.1546828359501635</v>
      </c>
      <c r="M68" s="46">
        <f>IF(ROW(tbl_RIOT[[#This Row],[Adj Close]])=5, 0, $F68-$F67)</f>
        <v>-0.10000000000000009</v>
      </c>
      <c r="N68" s="46">
        <f>MAX(tbl_RIOT[[#This Row],[Move]],0)</f>
        <v>0</v>
      </c>
      <c r="O68" s="46">
        <f>MAX(-tbl_RIOT[[#This Row],[Move]],0)</f>
        <v>0.10000000000000009</v>
      </c>
      <c r="P68" s="46">
        <f ca="1">IF(ROW($N68)-5&lt;RSI_Periods, "", AVERAGE(INDIRECT(ADDRESS(ROW($N68)-RSI_Periods +1, MATCH("Upmove", Price_Header,0))): INDIRECT(ADDRESS(ROW($N68),MATCH("Upmove", Price_Header,0)))))</f>
        <v>0.10392857142857137</v>
      </c>
      <c r="Q68" s="46">
        <f ca="1">IF(ROW($O68)-5&lt;RSI_Periods, "", AVERAGE(INDIRECT(ADDRESS(ROW($O68)-RSI_Periods +1, MATCH("Downmove", Price_Header,0))): INDIRECT(ADDRESS(ROW($O68),MATCH("Downmove", Price_Header,0)))))</f>
        <v>7.8928571428571362E-2</v>
      </c>
      <c r="R68" s="46">
        <f ca="1">IF(tbl_RIOT[[#This Row],[Avg_Upmove]]="", "", tbl_RIOT[[#This Row],[Avg_Upmove]]/tbl_RIOT[[#This Row],[Avg_Downmove]])</f>
        <v>1.3167420814479642</v>
      </c>
      <c r="S68" s="48">
        <f ca="1">IF(ROW($N68)-4&lt;BB_Periods, "", _xlfn.STDEV.S(INDIRECT(ADDRESS(ROW($F68)-RSI_Periods +1, MATCH("Adj Close", Price_Header,0))): INDIRECT(ADDRESS(ROW($F68),MATCH("Adj Close", Price_Header,0)))))</f>
        <v>0.25890858202491823</v>
      </c>
    </row>
    <row r="69" spans="1:19" x14ac:dyDescent="0.35">
      <c r="A69" s="8">
        <v>44144</v>
      </c>
      <c r="B69" s="48">
        <v>3.51</v>
      </c>
      <c r="C69" s="48">
        <v>3.62</v>
      </c>
      <c r="D69" s="48">
        <v>3.33</v>
      </c>
      <c r="E69" s="48">
        <v>3.5</v>
      </c>
      <c r="F69" s="48">
        <v>3.5</v>
      </c>
      <c r="G69">
        <v>5480300</v>
      </c>
      <c r="H69" s="48">
        <f>IF(tbl_RIOT[[#This Row],[Date]]=$A$5, $F69, EMA_Beta*$H68 + (1-EMA_Beta)*$F69)</f>
        <v>3.5003736072698364</v>
      </c>
      <c r="I69" s="46">
        <f ca="1">IF(tbl_RIOT[[#This Row],[RS]]= "", "", 100-(100/(1+tbl_RIOT[[#This Row],[RS]])))</f>
        <v>49.190283400809719</v>
      </c>
      <c r="J69" s="48">
        <f ca="1">IF(ROW($N69)-4&lt;BB_Periods, "", AVERAGE(INDIRECT(ADDRESS(ROW($F69)-RSI_Periods +1, MATCH("Adj Close", Price_Header,0))): INDIRECT(ADDRESS(ROW($F69),MATCH("Adj Close", Price_Header,0)))))</f>
        <v>3.6696428571428568</v>
      </c>
      <c r="K69" s="48">
        <f ca="1">IF(tbl_RIOT[[#This Row],[BB_Mean]]="", "", tbl_RIOT[[#This Row],[BB_Mean]]+(BB_Width*tbl_RIOT[[#This Row],[BB_Stdev]]))</f>
        <v>4.191038385224271</v>
      </c>
      <c r="L69" s="48">
        <f ca="1">IF(tbl_RIOT[[#This Row],[BB_Mean]]="", "", tbl_RIOT[[#This Row],[BB_Mean]]-(BB_Width*tbl_RIOT[[#This Row],[BB_Stdev]]))</f>
        <v>3.1482473290614426</v>
      </c>
      <c r="M69" s="46">
        <f>IF(ROW(tbl_RIOT[[#This Row],[Adj Close]])=5, 0, $F69-$F68)</f>
        <v>-0.14999999999999991</v>
      </c>
      <c r="N69" s="46">
        <f>MAX(tbl_RIOT[[#This Row],[Move]],0)</f>
        <v>0</v>
      </c>
      <c r="O69" s="46">
        <f>MAX(-tbl_RIOT[[#This Row],[Move]],0)</f>
        <v>0.14999999999999991</v>
      </c>
      <c r="P69" s="46">
        <f ca="1">IF(ROW($N69)-5&lt;RSI_Periods, "", AVERAGE(INDIRECT(ADDRESS(ROW($N69)-RSI_Periods +1, MATCH("Upmove", Price_Header,0))): INDIRECT(ADDRESS(ROW($N69),MATCH("Upmove", Price_Header,0)))))</f>
        <v>8.6785714285714216E-2</v>
      </c>
      <c r="Q69" s="46">
        <f ca="1">IF(ROW($O69)-5&lt;RSI_Periods, "", AVERAGE(INDIRECT(ADDRESS(ROW($O69)-RSI_Periods +1, MATCH("Downmove", Price_Header,0))): INDIRECT(ADDRESS(ROW($O69),MATCH("Downmove", Price_Header,0)))))</f>
        <v>8.9642857142857066E-2</v>
      </c>
      <c r="R69" s="46">
        <f ca="1">IF(tbl_RIOT[[#This Row],[Avg_Upmove]]="", "", tbl_RIOT[[#This Row],[Avg_Upmove]]/tbl_RIOT[[#This Row],[Avg_Downmove]])</f>
        <v>0.96812749003984067</v>
      </c>
      <c r="S69" s="48">
        <f ca="1">IF(ROW($N69)-4&lt;BB_Periods, "", _xlfn.STDEV.S(INDIRECT(ADDRESS(ROW($F69)-RSI_Periods +1, MATCH("Adj Close", Price_Header,0))): INDIRECT(ADDRESS(ROW($F69),MATCH("Adj Close", Price_Header,0)))))</f>
        <v>0.26069776404070699</v>
      </c>
    </row>
    <row r="70" spans="1:19" x14ac:dyDescent="0.35">
      <c r="A70" s="8">
        <v>44145</v>
      </c>
      <c r="B70" s="48">
        <v>3.4470000000000001</v>
      </c>
      <c r="C70" s="48">
        <v>3.48</v>
      </c>
      <c r="D70" s="48">
        <v>3.2</v>
      </c>
      <c r="E70" s="48">
        <v>3.45</v>
      </c>
      <c r="F70" s="48">
        <v>3.45</v>
      </c>
      <c r="G70">
        <v>3934300</v>
      </c>
      <c r="H70" s="48">
        <f>IF(tbl_RIOT[[#This Row],[Date]]=$A$5, $F70, EMA_Beta*$H69 + (1-EMA_Beta)*$F70)</f>
        <v>3.4953362465428524</v>
      </c>
      <c r="I70" s="46">
        <f ca="1">IF(tbl_RIOT[[#This Row],[RS]]= "", "", 100-(100/(1+tbl_RIOT[[#This Row],[RS]])))</f>
        <v>37.259615384615373</v>
      </c>
      <c r="J70" s="48">
        <f ca="1">IF(ROW($N70)-4&lt;BB_Periods, "", AVERAGE(INDIRECT(ADDRESS(ROW($F70)-RSI_Periods +1, MATCH("Adj Close", Price_Header,0))): INDIRECT(ADDRESS(ROW($F70),MATCH("Adj Close", Price_Header,0)))))</f>
        <v>3.6317857142857144</v>
      </c>
      <c r="K70" s="48">
        <f ca="1">IF(tbl_RIOT[[#This Row],[BB_Mean]]="", "", tbl_RIOT[[#This Row],[BB_Mean]]+(BB_Width*tbl_RIOT[[#This Row],[BB_Stdev]]))</f>
        <v>4.1326711939477461</v>
      </c>
      <c r="L70" s="48">
        <f ca="1">IF(tbl_RIOT[[#This Row],[BB_Mean]]="", "", tbl_RIOT[[#This Row],[BB_Mean]]-(BB_Width*tbl_RIOT[[#This Row],[BB_Stdev]]))</f>
        <v>3.1309002346236827</v>
      </c>
      <c r="M70" s="46">
        <f>IF(ROW(tbl_RIOT[[#This Row],[Adj Close]])=5, 0, $F70-$F69)</f>
        <v>-4.9999999999999822E-2</v>
      </c>
      <c r="N70" s="46">
        <f>MAX(tbl_RIOT[[#This Row],[Move]],0)</f>
        <v>0</v>
      </c>
      <c r="O70" s="46">
        <f>MAX(-tbl_RIOT[[#This Row],[Move]],0)</f>
        <v>4.9999999999999822E-2</v>
      </c>
      <c r="P70" s="46">
        <f ca="1">IF(ROW($N70)-5&lt;RSI_Periods, "", AVERAGE(INDIRECT(ADDRESS(ROW($N70)-RSI_Periods +1, MATCH("Upmove", Price_Header,0))): INDIRECT(ADDRESS(ROW($N70),MATCH("Upmove", Price_Header,0)))))</f>
        <v>5.5357142857142785E-2</v>
      </c>
      <c r="Q70" s="46">
        <f ca="1">IF(ROW($O70)-5&lt;RSI_Periods, "", AVERAGE(INDIRECT(ADDRESS(ROW($O70)-RSI_Periods +1, MATCH("Downmove", Price_Header,0))): INDIRECT(ADDRESS(ROW($O70),MATCH("Downmove", Price_Header,0)))))</f>
        <v>9.3214285714285625E-2</v>
      </c>
      <c r="R70" s="46">
        <f ca="1">IF(tbl_RIOT[[#This Row],[Avg_Upmove]]="", "", tbl_RIOT[[#This Row],[Avg_Upmove]]/tbl_RIOT[[#This Row],[Avg_Downmove]])</f>
        <v>0.59386973180076608</v>
      </c>
      <c r="S70" s="48">
        <f ca="1">IF(ROW($N70)-4&lt;BB_Periods, "", _xlfn.STDEV.S(INDIRECT(ADDRESS(ROW($F70)-RSI_Periods +1, MATCH("Adj Close", Price_Header,0))): INDIRECT(ADDRESS(ROW($F70),MATCH("Adj Close", Price_Header,0)))))</f>
        <v>0.25044273983101584</v>
      </c>
    </row>
    <row r="71" spans="1:19" x14ac:dyDescent="0.35">
      <c r="A71" s="8">
        <v>44146</v>
      </c>
      <c r="B71" s="48">
        <v>3.5009999999999999</v>
      </c>
      <c r="C71" s="48">
        <v>3.76</v>
      </c>
      <c r="D71" s="48">
        <v>3.415</v>
      </c>
      <c r="E71" s="48">
        <v>3.6</v>
      </c>
      <c r="F71" s="48">
        <v>3.6</v>
      </c>
      <c r="G71">
        <v>7266700</v>
      </c>
      <c r="H71" s="48">
        <f>IF(tbl_RIOT[[#This Row],[Date]]=$A$5, $F71, EMA_Beta*$H70 + (1-EMA_Beta)*$F71)</f>
        <v>3.505802621888567</v>
      </c>
      <c r="I71" s="46">
        <f ca="1">IF(tbl_RIOT[[#This Row],[RS]]= "", "", 100-(100/(1+tbl_RIOT[[#This Row],[RS]])))</f>
        <v>39.443155452436201</v>
      </c>
      <c r="J71" s="48">
        <f ca="1">IF(ROW($N71)-4&lt;BB_Periods, "", AVERAGE(INDIRECT(ADDRESS(ROW($F71)-RSI_Periods +1, MATCH("Adj Close", Price_Header,0))): INDIRECT(ADDRESS(ROW($F71),MATCH("Adj Close", Price_Header,0)))))</f>
        <v>3.5992857142857142</v>
      </c>
      <c r="K71" s="48">
        <f ca="1">IF(tbl_RIOT[[#This Row],[BB_Mean]]="", "", tbl_RIOT[[#This Row],[BB_Mean]]+(BB_Width*tbl_RIOT[[#This Row],[BB_Stdev]]))</f>
        <v>4.0369342761892852</v>
      </c>
      <c r="L71" s="48">
        <f ca="1">IF(tbl_RIOT[[#This Row],[BB_Mean]]="", "", tbl_RIOT[[#This Row],[BB_Mean]]-(BB_Width*tbl_RIOT[[#This Row],[BB_Stdev]]))</f>
        <v>3.1616371523821432</v>
      </c>
      <c r="M71" s="46">
        <f>IF(ROW(tbl_RIOT[[#This Row],[Adj Close]])=5, 0, $F71-$F70)</f>
        <v>0.14999999999999991</v>
      </c>
      <c r="N71" s="46">
        <f>MAX(tbl_RIOT[[#This Row],[Move]],0)</f>
        <v>0.14999999999999991</v>
      </c>
      <c r="O71" s="46">
        <f>MAX(-tbl_RIOT[[#This Row],[Move]],0)</f>
        <v>0</v>
      </c>
      <c r="P71" s="46">
        <f ca="1">IF(ROW($N71)-5&lt;RSI_Periods, "", AVERAGE(INDIRECT(ADDRESS(ROW($N71)-RSI_Periods +1, MATCH("Upmove", Price_Header,0))): INDIRECT(ADDRESS(ROW($N71),MATCH("Upmove", Price_Header,0)))))</f>
        <v>6.0714285714285658E-2</v>
      </c>
      <c r="Q71" s="46">
        <f ca="1">IF(ROW($O71)-5&lt;RSI_Periods, "", AVERAGE(INDIRECT(ADDRESS(ROW($O71)-RSI_Periods +1, MATCH("Downmove", Price_Header,0))): INDIRECT(ADDRESS(ROW($O71),MATCH("Downmove", Price_Header,0)))))</f>
        <v>9.3214285714285625E-2</v>
      </c>
      <c r="R71" s="46">
        <f ca="1">IF(tbl_RIOT[[#This Row],[Avg_Upmove]]="", "", tbl_RIOT[[#This Row],[Avg_Upmove]]/tbl_RIOT[[#This Row],[Avg_Downmove]])</f>
        <v>0.65134099616858243</v>
      </c>
      <c r="S71" s="48">
        <f ca="1">IF(ROW($N71)-4&lt;BB_Periods, "", _xlfn.STDEV.S(INDIRECT(ADDRESS(ROW($F71)-RSI_Periods +1, MATCH("Adj Close", Price_Header,0))): INDIRECT(ADDRESS(ROW($F71),MATCH("Adj Close", Price_Header,0)))))</f>
        <v>0.21882428095178541</v>
      </c>
    </row>
    <row r="72" spans="1:19" x14ac:dyDescent="0.35">
      <c r="A72" s="8">
        <v>44147</v>
      </c>
      <c r="B72" s="48">
        <v>3.7650000000000001</v>
      </c>
      <c r="C72" s="48">
        <v>3.81</v>
      </c>
      <c r="D72" s="48">
        <v>3.54</v>
      </c>
      <c r="E72" s="48">
        <v>3.7</v>
      </c>
      <c r="F72" s="48">
        <v>3.7</v>
      </c>
      <c r="G72">
        <v>5205500</v>
      </c>
      <c r="H72" s="48">
        <f>IF(tbl_RIOT[[#This Row],[Date]]=$A$5, $F72, EMA_Beta*$H71 + (1-EMA_Beta)*$F72)</f>
        <v>3.5252223596997103</v>
      </c>
      <c r="I72" s="46">
        <f ca="1">IF(tbl_RIOT[[#This Row],[RS]]= "", "", 100-(100/(1+tbl_RIOT[[#This Row],[RS]])))</f>
        <v>45.023696682464454</v>
      </c>
      <c r="J72" s="48">
        <f ca="1">IF(ROW($N72)-4&lt;BB_Periods, "", AVERAGE(INDIRECT(ADDRESS(ROW($F72)-RSI_Periods +1, MATCH("Adj Close", Price_Header,0))): INDIRECT(ADDRESS(ROW($F72),MATCH("Adj Close", Price_Header,0)))))</f>
        <v>3.584285714285715</v>
      </c>
      <c r="K72" s="48">
        <f ca="1">IF(tbl_RIOT[[#This Row],[BB_Mean]]="", "", tbl_RIOT[[#This Row],[BB_Mean]]+(BB_Width*tbl_RIOT[[#This Row],[BB_Stdev]]))</f>
        <v>3.9892331399873946</v>
      </c>
      <c r="L72" s="48">
        <f ca="1">IF(tbl_RIOT[[#This Row],[BB_Mean]]="", "", tbl_RIOT[[#This Row],[BB_Mean]]-(BB_Width*tbl_RIOT[[#This Row],[BB_Stdev]]))</f>
        <v>3.1793382885840353</v>
      </c>
      <c r="M72" s="46">
        <f>IF(ROW(tbl_RIOT[[#This Row],[Adj Close]])=5, 0, $F72-$F71)</f>
        <v>0.10000000000000009</v>
      </c>
      <c r="N72" s="46">
        <f>MAX(tbl_RIOT[[#This Row],[Move]],0)</f>
        <v>0.10000000000000009</v>
      </c>
      <c r="O72" s="46">
        <f>MAX(-tbl_RIOT[[#This Row],[Move]],0)</f>
        <v>0</v>
      </c>
      <c r="P72" s="46">
        <f ca="1">IF(ROW($N72)-5&lt;RSI_Periods, "", AVERAGE(INDIRECT(ADDRESS(ROW($N72)-RSI_Periods +1, MATCH("Upmove", Price_Header,0))): INDIRECT(ADDRESS(ROW($N72),MATCH("Upmove", Price_Header,0)))))</f>
        <v>6.785714285714281E-2</v>
      </c>
      <c r="Q72" s="46">
        <f ca="1">IF(ROW($O72)-5&lt;RSI_Periods, "", AVERAGE(INDIRECT(ADDRESS(ROW($O72)-RSI_Periods +1, MATCH("Downmove", Price_Header,0))): INDIRECT(ADDRESS(ROW($O72),MATCH("Downmove", Price_Header,0)))))</f>
        <v>8.285714285714281E-2</v>
      </c>
      <c r="R72" s="46">
        <f ca="1">IF(tbl_RIOT[[#This Row],[Avg_Upmove]]="", "", tbl_RIOT[[#This Row],[Avg_Upmove]]/tbl_RIOT[[#This Row],[Avg_Downmove]])</f>
        <v>0.81896551724137923</v>
      </c>
      <c r="S72" s="48">
        <f ca="1">IF(ROW($N72)-4&lt;BB_Periods, "", _xlfn.STDEV.S(INDIRECT(ADDRESS(ROW($F72)-RSI_Periods +1, MATCH("Adj Close", Price_Header,0))): INDIRECT(ADDRESS(ROW($F72),MATCH("Adj Close", Price_Header,0)))))</f>
        <v>0.20247371285083987</v>
      </c>
    </row>
    <row r="73" spans="1:19" x14ac:dyDescent="0.35">
      <c r="A73" s="8">
        <v>44148</v>
      </c>
      <c r="B73" s="48">
        <v>3.77</v>
      </c>
      <c r="C73" s="48">
        <v>4.12</v>
      </c>
      <c r="D73" s="48">
        <v>3.59</v>
      </c>
      <c r="E73" s="48">
        <v>3.98</v>
      </c>
      <c r="F73" s="48">
        <v>3.98</v>
      </c>
      <c r="G73">
        <v>11293700</v>
      </c>
      <c r="H73" s="48">
        <f>IF(tbl_RIOT[[#This Row],[Date]]=$A$5, $F73, EMA_Beta*$H72 + (1-EMA_Beta)*$F73)</f>
        <v>3.5707001237297389</v>
      </c>
      <c r="I73" s="46">
        <f ca="1">IF(tbl_RIOT[[#This Row],[RS]]= "", "", 100-(100/(1+tbl_RIOT[[#This Row],[RS]])))</f>
        <v>52.789699570815451</v>
      </c>
      <c r="J73" s="48">
        <f ca="1">IF(ROW($N73)-4&lt;BB_Periods, "", AVERAGE(INDIRECT(ADDRESS(ROW($F73)-RSI_Periods +1, MATCH("Adj Close", Price_Header,0))): INDIRECT(ADDRESS(ROW($F73),MATCH("Adj Close", Price_Header,0)))))</f>
        <v>3.5935714285714289</v>
      </c>
      <c r="K73" s="48">
        <f ca="1">IF(tbl_RIOT[[#This Row],[BB_Mean]]="", "", tbl_RIOT[[#This Row],[BB_Mean]]+(BB_Width*tbl_RIOT[[#This Row],[BB_Stdev]]))</f>
        <v>4.0295394685332262</v>
      </c>
      <c r="L73" s="48">
        <f ca="1">IF(tbl_RIOT[[#This Row],[BB_Mean]]="", "", tbl_RIOT[[#This Row],[BB_Mean]]-(BB_Width*tbl_RIOT[[#This Row],[BB_Stdev]]))</f>
        <v>3.1576033886096311</v>
      </c>
      <c r="M73" s="46">
        <f>IF(ROW(tbl_RIOT[[#This Row],[Adj Close]])=5, 0, $F73-$F72)</f>
        <v>0.2799999999999998</v>
      </c>
      <c r="N73" s="46">
        <f>MAX(tbl_RIOT[[#This Row],[Move]],0)</f>
        <v>0.2799999999999998</v>
      </c>
      <c r="O73" s="46">
        <f>MAX(-tbl_RIOT[[#This Row],[Move]],0)</f>
        <v>0</v>
      </c>
      <c r="P73" s="46">
        <f ca="1">IF(ROW($N73)-5&lt;RSI_Periods, "", AVERAGE(INDIRECT(ADDRESS(ROW($N73)-RSI_Periods +1, MATCH("Upmove", Price_Header,0))): INDIRECT(ADDRESS(ROW($N73),MATCH("Upmove", Price_Header,0)))))</f>
        <v>8.7857142857142786E-2</v>
      </c>
      <c r="Q73" s="46">
        <f ca="1">IF(ROW($O73)-5&lt;RSI_Periods, "", AVERAGE(INDIRECT(ADDRESS(ROW($O73)-RSI_Periods +1, MATCH("Downmove", Price_Header,0))): INDIRECT(ADDRESS(ROW($O73),MATCH("Downmove", Price_Header,0)))))</f>
        <v>7.8571428571428514E-2</v>
      </c>
      <c r="R73" s="46">
        <f ca="1">IF(tbl_RIOT[[#This Row],[Avg_Upmove]]="", "", tbl_RIOT[[#This Row],[Avg_Upmove]]/tbl_RIOT[[#This Row],[Avg_Downmove]])</f>
        <v>1.1181818181818182</v>
      </c>
      <c r="S73" s="48">
        <f ca="1">IF(ROW($N73)-4&lt;BB_Periods, "", _xlfn.STDEV.S(INDIRECT(ADDRESS(ROW($F73)-RSI_Periods +1, MATCH("Adj Close", Price_Header,0))): INDIRECT(ADDRESS(ROW($F73),MATCH("Adj Close", Price_Header,0)))))</f>
        <v>0.21798401998089889</v>
      </c>
    </row>
    <row r="74" spans="1:19" x14ac:dyDescent="0.35">
      <c r="A74" t="s">
        <v>162</v>
      </c>
      <c r="S74">
        <f ca="1">SUBTOTAL(103,tbl_RIOT[BB_Stdev])</f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97</vt:i4>
      </vt:variant>
    </vt:vector>
  </HeadingPairs>
  <TitlesOfParts>
    <vt:vector size="128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AMD</vt:lpstr>
      <vt:lpstr>CVX</vt:lpstr>
      <vt:lpstr>QCOM</vt:lpstr>
      <vt:lpstr>F</vt:lpstr>
      <vt:lpstr>LTHM</vt:lpstr>
      <vt:lpstr>RCL</vt:lpstr>
      <vt:lpstr>OIL</vt:lpstr>
      <vt:lpstr>VIXY</vt:lpstr>
      <vt:lpstr>LLNW</vt:lpstr>
      <vt:lpstr>PLL</vt:lpstr>
      <vt:lpstr>APHA</vt:lpstr>
      <vt:lpstr>BEP</vt:lpstr>
      <vt:lpstr>Dashboard</vt:lpstr>
      <vt:lpstr>Dashboard_backend</vt:lpstr>
      <vt:lpstr>Format Control</vt:lpstr>
      <vt:lpstr>New Stock</vt:lpstr>
      <vt:lpstr>AMD!Adj_Close_HD</vt:lpstr>
      <vt:lpstr>APHA!Adj_Close_HD</vt:lpstr>
      <vt:lpstr>BEP!Adj_Close_HD</vt:lpstr>
      <vt:lpstr>CVX!Adj_Close_HD</vt:lpstr>
      <vt:lpstr>F!Adj_Close_HD</vt:lpstr>
      <vt:lpstr>LLNW!Adj_Close_HD</vt:lpstr>
      <vt:lpstr>LTHM!Adj_Close_HD</vt:lpstr>
      <vt:lpstr>OIL!Adj_Close_HD</vt:lpstr>
      <vt:lpstr>PLL!Adj_Close_HD</vt:lpstr>
      <vt:lpstr>QCOM!Adj_Close_HD</vt:lpstr>
      <vt:lpstr>RCL!Adj_Close_HD</vt:lpstr>
      <vt:lpstr>VIXY!Adj_Close_HD</vt:lpstr>
      <vt:lpstr>Adj_Close_HD</vt:lpstr>
      <vt:lpstr>BB_Periods</vt:lpstr>
      <vt:lpstr>BB_Width</vt:lpstr>
      <vt:lpstr>AMD!Date_List</vt:lpstr>
      <vt:lpstr>APHA!Date_List</vt:lpstr>
      <vt:lpstr>BEP!Date_List</vt:lpstr>
      <vt:lpstr>CVX!Date_List</vt:lpstr>
      <vt:lpstr>F!Date_List</vt:lpstr>
      <vt:lpstr>LLNW!Date_List</vt:lpstr>
      <vt:lpstr>LTHM!Date_List</vt:lpstr>
      <vt:lpstr>OIL!Date_List</vt:lpstr>
      <vt:lpstr>PLL!Date_List</vt:lpstr>
      <vt:lpstr>QCOM!Date_List</vt:lpstr>
      <vt:lpstr>RCL!Date_List</vt:lpstr>
      <vt:lpstr>VIXY!Date_List</vt:lpstr>
      <vt:lpstr>Date_List</vt:lpstr>
      <vt:lpstr>EMA_Beta</vt:lpstr>
      <vt:lpstr>Metrics</vt:lpstr>
      <vt:lpstr>AMD!pos_header</vt:lpstr>
      <vt:lpstr>APHA!pos_header</vt:lpstr>
      <vt:lpstr>BEP!pos_header</vt:lpstr>
      <vt:lpstr>CVX!pos_header</vt:lpstr>
      <vt:lpstr>F!pos_header</vt:lpstr>
      <vt:lpstr>LLNW!pos_header</vt:lpstr>
      <vt:lpstr>LTHM!pos_header</vt:lpstr>
      <vt:lpstr>OIL!pos_header</vt:lpstr>
      <vt:lpstr>PLL!pos_header</vt:lpstr>
      <vt:lpstr>QCOM!pos_header</vt:lpstr>
      <vt:lpstr>RCL!pos_header</vt:lpstr>
      <vt:lpstr>VIXY!pos_header</vt:lpstr>
      <vt:lpstr>pos_header</vt:lpstr>
      <vt:lpstr>AMD!Price_AAPL</vt:lpstr>
      <vt:lpstr>APHA!Price_AAPL</vt:lpstr>
      <vt:lpstr>BEP!Price_AAPL</vt:lpstr>
      <vt:lpstr>CVX!Price_AAPL</vt:lpstr>
      <vt:lpstr>F!Price_AAPL</vt:lpstr>
      <vt:lpstr>LLNW!Price_AAPL</vt:lpstr>
      <vt:lpstr>LTHM!Price_AAPL</vt:lpstr>
      <vt:lpstr>OIL!Price_AAPL</vt:lpstr>
      <vt:lpstr>PLL!Price_AAPL</vt:lpstr>
      <vt:lpstr>QCOM!Price_AAPL</vt:lpstr>
      <vt:lpstr>RCL!Price_AAPL</vt:lpstr>
      <vt:lpstr>VIXY!Price_AAPL</vt:lpstr>
      <vt:lpstr>Price_AAPL</vt:lpstr>
      <vt:lpstr>AMD!Price_HD</vt:lpstr>
      <vt:lpstr>APHA!Price_HD</vt:lpstr>
      <vt:lpstr>BEP!Price_HD</vt:lpstr>
      <vt:lpstr>CVX!Price_HD</vt:lpstr>
      <vt:lpstr>F!Price_HD</vt:lpstr>
      <vt:lpstr>LLNW!Price_HD</vt:lpstr>
      <vt:lpstr>LTHM!Price_HD</vt:lpstr>
      <vt:lpstr>OIL!Price_HD</vt:lpstr>
      <vt:lpstr>PLL!Price_HD</vt:lpstr>
      <vt:lpstr>QCOM!Price_HD</vt:lpstr>
      <vt:lpstr>RCL!Price_HD</vt:lpstr>
      <vt:lpstr>VIXY!Price_HD</vt:lpstr>
      <vt:lpstr>Price_HD</vt:lpstr>
      <vt:lpstr>AMD!Price_Header</vt:lpstr>
      <vt:lpstr>APHA!Price_Header</vt:lpstr>
      <vt:lpstr>BEP!Price_Header</vt:lpstr>
      <vt:lpstr>CVX!Price_Header</vt:lpstr>
      <vt:lpstr>F!Price_Header</vt:lpstr>
      <vt:lpstr>LLNW!Price_Header</vt:lpstr>
      <vt:lpstr>LTHM!Price_Header</vt:lpstr>
      <vt:lpstr>OIL!Price_Header</vt:lpstr>
      <vt:lpstr>PLL!Price_Header</vt:lpstr>
      <vt:lpstr>QCOM!Price_Header</vt:lpstr>
      <vt:lpstr>RCL!Price_Header</vt:lpstr>
      <vt:lpstr>VIXY!Price_Header</vt:lpstr>
      <vt:lpstr>Price_Header</vt:lpstr>
      <vt:lpstr>RSI_Periods</vt:lpstr>
      <vt:lpstr>AMD!Symbol</vt:lpstr>
      <vt:lpstr>APHA!Symbol</vt:lpstr>
      <vt:lpstr>BEP!Symbol</vt:lpstr>
      <vt:lpstr>CVX!Symbol</vt:lpstr>
      <vt:lpstr>F!Symbol</vt:lpstr>
      <vt:lpstr>LLNW!Symbol</vt:lpstr>
      <vt:lpstr>LTHM!Symbol</vt:lpstr>
      <vt:lpstr>OIL!Symbol</vt:lpstr>
      <vt:lpstr>PLL!Symbol</vt:lpstr>
      <vt:lpstr>QCOM!Symbol</vt:lpstr>
      <vt:lpstr>RCL!Symbol</vt:lpstr>
      <vt:lpstr>VIXY!Symbol</vt:lpstr>
      <vt:lpstr>Symbol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2020-09-13T13:25:13Z</cp:lastPrinted>
  <dcterms:created xsi:type="dcterms:W3CDTF">2020-09-12T01:33:26Z</dcterms:created>
  <dcterms:modified xsi:type="dcterms:W3CDTF">2020-11-14T08:54:09Z</dcterms:modified>
</cp:coreProperties>
</file>