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F9D\Downloads\Excel_VBA_Accountant-main\Excel_VBA_Accountant-main\02 - Accounting Reporting - Shopify (Change Accounting Standards)\"/>
    </mc:Choice>
  </mc:AlternateContent>
  <xr:revisionPtr revIDLastSave="0" documentId="13_ncr:1_{F7FE7D9B-0859-409F-9D9B-C3593165F83D}" xr6:coauthVersionLast="47" xr6:coauthVersionMax="47" xr10:uidLastSave="{00000000-0000-0000-0000-000000000000}"/>
  <bookViews>
    <workbookView xWindow="-120" yWindow="-120" windowWidth="29040" windowHeight="15720" xr2:uid="{5873B61B-6222-4069-BFC6-2C22B38742B9}"/>
  </bookViews>
  <sheets>
    <sheet name="Income Statement" sheetId="1" r:id="rId1"/>
    <sheet name="Balance Sheet" sheetId="2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5" l="1"/>
  <c r="F29" i="5"/>
  <c r="G29" i="5" s="1"/>
  <c r="H29" i="5" s="1"/>
  <c r="E29" i="5"/>
  <c r="E28" i="5"/>
  <c r="E31" i="5" s="1"/>
  <c r="F22" i="5"/>
  <c r="F26" i="5" s="1"/>
  <c r="E22" i="5"/>
  <c r="E26" i="5" s="1"/>
  <c r="G21" i="5"/>
  <c r="H21" i="5"/>
  <c r="H22" i="5" s="1"/>
  <c r="F21" i="5"/>
  <c r="E21" i="5"/>
  <c r="D19" i="5"/>
  <c r="C19" i="5"/>
  <c r="F18" i="5"/>
  <c r="G18" i="5"/>
  <c r="H18" i="5"/>
  <c r="E18" i="5"/>
  <c r="E16" i="5"/>
  <c r="F16" i="5" s="1"/>
  <c r="G16" i="5" s="1"/>
  <c r="H16" i="5" s="1"/>
  <c r="E15" i="5"/>
  <c r="E19" i="5" s="1"/>
  <c r="E13" i="5"/>
  <c r="E10" i="5"/>
  <c r="F10" i="5" s="1"/>
  <c r="G10" i="5" s="1"/>
  <c r="H10" i="5" s="1"/>
  <c r="F9" i="5"/>
  <c r="G9" i="5"/>
  <c r="H9" i="5"/>
  <c r="E9" i="5"/>
  <c r="F8" i="5"/>
  <c r="G8" i="5"/>
  <c r="H8" i="5"/>
  <c r="E8" i="5"/>
  <c r="D26" i="5"/>
  <c r="C26" i="5"/>
  <c r="D31" i="5"/>
  <c r="C31" i="5"/>
  <c r="G14" i="5"/>
  <c r="H14" i="5"/>
  <c r="F14" i="5"/>
  <c r="E14" i="5"/>
  <c r="E17" i="5"/>
  <c r="F17" i="5" s="1"/>
  <c r="G17" i="5" s="1"/>
  <c r="H17" i="5" s="1"/>
  <c r="D33" i="5"/>
  <c r="E35" i="5"/>
  <c r="F34" i="5" s="1"/>
  <c r="E34" i="5"/>
  <c r="E33" i="5" s="1"/>
  <c r="E3" i="5"/>
  <c r="F3" i="5" s="1"/>
  <c r="G3" i="5" s="1"/>
  <c r="H3" i="5" s="1"/>
  <c r="E5" i="2"/>
  <c r="E18" i="2"/>
  <c r="F18" i="2" s="1"/>
  <c r="G5" i="2"/>
  <c r="H5" i="2" s="1"/>
  <c r="F6" i="2"/>
  <c r="F13" i="5" s="1"/>
  <c r="E8" i="2"/>
  <c r="E19" i="2"/>
  <c r="F19" i="2" s="1"/>
  <c r="G19" i="2" s="1"/>
  <c r="E23" i="2"/>
  <c r="E25" i="2" s="1"/>
  <c r="E11" i="2"/>
  <c r="F11" i="2" s="1"/>
  <c r="G11" i="2" s="1"/>
  <c r="H11" i="2" s="1"/>
  <c r="F12" i="2"/>
  <c r="G12" i="2"/>
  <c r="H12" i="2" s="1"/>
  <c r="E12" i="2"/>
  <c r="E29" i="2"/>
  <c r="F29" i="2" s="1"/>
  <c r="G29" i="2" s="1"/>
  <c r="E28" i="2"/>
  <c r="F28" i="2" s="1"/>
  <c r="G28" i="2" s="1"/>
  <c r="H28" i="2" s="1"/>
  <c r="F13" i="2"/>
  <c r="G13" i="2" s="1"/>
  <c r="H13" i="2" s="1"/>
  <c r="E13" i="2"/>
  <c r="O21" i="1"/>
  <c r="H20" i="1"/>
  <c r="H22" i="1" s="1"/>
  <c r="M21" i="1"/>
  <c r="R26" i="1"/>
  <c r="S26" i="1" s="1"/>
  <c r="T26" i="1" s="1"/>
  <c r="Q26" i="1"/>
  <c r="C32" i="2"/>
  <c r="D32" i="2"/>
  <c r="C25" i="2"/>
  <c r="D25" i="2"/>
  <c r="C21" i="2"/>
  <c r="D21" i="2"/>
  <c r="C14" i="2"/>
  <c r="D14" i="2"/>
  <c r="C9" i="2"/>
  <c r="D9" i="2"/>
  <c r="H16" i="1"/>
  <c r="I16" i="1" s="1"/>
  <c r="J16" i="1" s="1"/>
  <c r="K16" i="1" s="1"/>
  <c r="H15" i="1"/>
  <c r="I15" i="1" s="1"/>
  <c r="J15" i="1" s="1"/>
  <c r="K15" i="1" s="1"/>
  <c r="R8" i="1"/>
  <c r="H11" i="1"/>
  <c r="H10" i="1"/>
  <c r="I10" i="1" s="1"/>
  <c r="J10" i="1" s="1"/>
  <c r="K10" i="1" s="1"/>
  <c r="H9" i="1"/>
  <c r="I9" i="1" s="1"/>
  <c r="J9" i="1" s="1"/>
  <c r="K9" i="1" s="1"/>
  <c r="H6" i="1"/>
  <c r="I6" i="1" s="1"/>
  <c r="J6" i="1" s="1"/>
  <c r="K6" i="1" s="1"/>
  <c r="H5" i="1"/>
  <c r="H7" i="1" s="1"/>
  <c r="H12" i="1" s="1"/>
  <c r="F22" i="1"/>
  <c r="G22" i="1"/>
  <c r="F17" i="1"/>
  <c r="G17" i="1"/>
  <c r="F11" i="1"/>
  <c r="G11" i="1"/>
  <c r="F7" i="1"/>
  <c r="F12" i="1" s="1"/>
  <c r="F18" i="1" s="1"/>
  <c r="F23" i="1" s="1"/>
  <c r="F25" i="1" s="1"/>
  <c r="G7" i="1"/>
  <c r="G12" i="1" s="1"/>
  <c r="G18" i="1" s="1"/>
  <c r="G23" i="1" s="1"/>
  <c r="G25" i="1" s="1"/>
  <c r="G18" i="2" l="1"/>
  <c r="H18" i="2" s="1"/>
  <c r="F21" i="2"/>
  <c r="I20" i="1"/>
  <c r="G6" i="2"/>
  <c r="I5" i="1"/>
  <c r="O22" i="1"/>
  <c r="C15" i="2"/>
  <c r="G22" i="5"/>
  <c r="G26" i="5" s="1"/>
  <c r="H26" i="5"/>
  <c r="F28" i="5"/>
  <c r="F23" i="2"/>
  <c r="D33" i="2"/>
  <c r="G13" i="5"/>
  <c r="Q7" i="1"/>
  <c r="S7" i="1" s="1"/>
  <c r="E9" i="2"/>
  <c r="Q8" i="1"/>
  <c r="S8" i="1" s="1"/>
  <c r="R7" i="1"/>
  <c r="F8" i="2"/>
  <c r="E21" i="2"/>
  <c r="H19" i="2"/>
  <c r="E14" i="2"/>
  <c r="E15" i="2" s="1"/>
  <c r="D15" i="2"/>
  <c r="C33" i="2"/>
  <c r="C35" i="2" s="1"/>
  <c r="I11" i="1"/>
  <c r="K11" i="1"/>
  <c r="J11" i="1"/>
  <c r="H14" i="1" l="1"/>
  <c r="H17" i="1" s="1"/>
  <c r="H18" i="1" s="1"/>
  <c r="H23" i="1" s="1"/>
  <c r="H25" i="1" s="1"/>
  <c r="G23" i="2"/>
  <c r="F25" i="2"/>
  <c r="D35" i="2"/>
  <c r="G28" i="5"/>
  <c r="F31" i="5"/>
  <c r="H21" i="2"/>
  <c r="G21" i="2"/>
  <c r="I7" i="1"/>
  <c r="I14" i="1" s="1"/>
  <c r="I17" i="1" s="1"/>
  <c r="J5" i="1"/>
  <c r="H6" i="2"/>
  <c r="H13" i="5"/>
  <c r="J20" i="1"/>
  <c r="I22" i="1"/>
  <c r="G8" i="2"/>
  <c r="F15" i="5"/>
  <c r="F19" i="5" s="1"/>
  <c r="G15" i="5"/>
  <c r="G19" i="5" s="1"/>
  <c r="F14" i="2"/>
  <c r="J22" i="1" l="1"/>
  <c r="K20" i="1"/>
  <c r="K22" i="1" s="1"/>
  <c r="G31" i="5"/>
  <c r="H28" i="5"/>
  <c r="H31" i="5" s="1"/>
  <c r="K5" i="1"/>
  <c r="K7" i="1" s="1"/>
  <c r="J7" i="1"/>
  <c r="I12" i="1"/>
  <c r="I18" i="1" s="1"/>
  <c r="I23" i="1" s="1"/>
  <c r="G25" i="2"/>
  <c r="H23" i="2"/>
  <c r="H25" i="2" s="1"/>
  <c r="E6" i="5"/>
  <c r="E31" i="2"/>
  <c r="H8" i="2"/>
  <c r="H15" i="5"/>
  <c r="H19" i="5" s="1"/>
  <c r="I24" i="1"/>
  <c r="I25" i="1" s="1"/>
  <c r="G14" i="2"/>
  <c r="H14" i="2"/>
  <c r="J14" i="1" l="1"/>
  <c r="J17" i="1" s="1"/>
  <c r="J12" i="1"/>
  <c r="J18" i="1" s="1"/>
  <c r="J23" i="1" s="1"/>
  <c r="J24" i="1" s="1"/>
  <c r="J25" i="1" s="1"/>
  <c r="G6" i="5" s="1"/>
  <c r="G39" i="5" s="1"/>
  <c r="K14" i="1"/>
  <c r="K17" i="1" s="1"/>
  <c r="K12" i="1"/>
  <c r="K18" i="1" s="1"/>
  <c r="K23" i="1" s="1"/>
  <c r="K24" i="1" s="1"/>
  <c r="K25" i="1" s="1"/>
  <c r="H6" i="5" s="1"/>
  <c r="H39" i="5" s="1"/>
  <c r="F6" i="5"/>
  <c r="F39" i="5" s="1"/>
  <c r="F4" i="2"/>
  <c r="F32" i="5" s="1"/>
  <c r="F31" i="2"/>
  <c r="G31" i="2" l="1"/>
  <c r="F32" i="2"/>
  <c r="F33" i="2" s="1"/>
  <c r="F35" i="5"/>
  <c r="G4" i="2"/>
  <c r="G32" i="5" s="1"/>
  <c r="F9" i="2"/>
  <c r="F15" i="2" s="1"/>
  <c r="E32" i="2"/>
  <c r="E33" i="2" s="1"/>
  <c r="E35" i="2" s="1"/>
  <c r="F33" i="5" l="1"/>
  <c r="G34" i="5"/>
  <c r="H4" i="2"/>
  <c r="H32" i="5" s="1"/>
  <c r="G35" i="5"/>
  <c r="G9" i="2"/>
  <c r="G15" i="2" s="1"/>
  <c r="G32" i="2"/>
  <c r="G33" i="2" s="1"/>
  <c r="H31" i="2"/>
  <c r="H32" i="2" s="1"/>
  <c r="H33" i="2" s="1"/>
  <c r="F35" i="2"/>
  <c r="G35" i="2" l="1"/>
  <c r="G33" i="5"/>
  <c r="H34" i="5"/>
  <c r="H35" i="5"/>
  <c r="H9" i="2"/>
  <c r="H15" i="2" s="1"/>
  <c r="H35" i="2" s="1"/>
  <c r="H33" i="5" l="1"/>
</calcChain>
</file>

<file path=xl/sharedStrings.xml><?xml version="1.0" encoding="utf-8"?>
<sst xmlns="http://schemas.openxmlformats.org/spreadsheetml/2006/main" count="116" uniqueCount="105">
  <si>
    <t>Rev</t>
  </si>
  <si>
    <t>Subscription solutions</t>
  </si>
  <si>
    <t>Merchant solutions</t>
  </si>
  <si>
    <t>Cost of revenues</t>
  </si>
  <si>
    <t>Gross profit</t>
  </si>
  <si>
    <t>Operating expenses</t>
  </si>
  <si>
    <t>Sales and marketing</t>
  </si>
  <si>
    <t>Research and development</t>
  </si>
  <si>
    <t>Total operating expenses</t>
  </si>
  <si>
    <t>Other income (expense)</t>
  </si>
  <si>
    <t>Interest income, net</t>
  </si>
  <si>
    <t>Foreign exchange gain (loss)</t>
  </si>
  <si>
    <t>*2017</t>
  </si>
  <si>
    <t>*2018</t>
  </si>
  <si>
    <t>*2019</t>
  </si>
  <si>
    <t>*2020</t>
  </si>
  <si>
    <t xml:space="preserve">Inflation: </t>
  </si>
  <si>
    <t>Sales&amp;market/Rev</t>
  </si>
  <si>
    <t>Sales&amp;market/GP</t>
  </si>
  <si>
    <t>Average</t>
  </si>
  <si>
    <t>Starting 2018:</t>
  </si>
  <si>
    <t>Shopify will benefit from ecnomy of Scales</t>
  </si>
  <si>
    <t>Therefore, cost will grow slower by 75%</t>
  </si>
  <si>
    <t xml:space="preserve">I will start an open-source initive </t>
  </si>
  <si>
    <t xml:space="preserve">R&amp;D will drop by </t>
  </si>
  <si>
    <t>Exbanding the business will cuase Genereal and Admin expense to rise by</t>
  </si>
  <si>
    <t>Strat. Change:</t>
  </si>
  <si>
    <t>Assets</t>
  </si>
  <si>
    <t>Current Assets</t>
  </si>
  <si>
    <t xml:space="preserve">Cash and cash equivalents </t>
  </si>
  <si>
    <t>Marketable securities</t>
  </si>
  <si>
    <t>Trade and other receivables</t>
  </si>
  <si>
    <t>Merchant cash advances receivable, net</t>
  </si>
  <si>
    <t>Other current assets</t>
  </si>
  <si>
    <t>Long term assets</t>
  </si>
  <si>
    <t>Property and equipment</t>
  </si>
  <si>
    <t>Intangible assets</t>
  </si>
  <si>
    <t>Goodwill</t>
  </si>
  <si>
    <t>Total Assets</t>
  </si>
  <si>
    <t>Liabilities and shareholders’ equity</t>
  </si>
  <si>
    <t>Current liabilities</t>
  </si>
  <si>
    <t>Accounts payable and accrued liabilities</t>
  </si>
  <si>
    <t>Current portion of deferred revenue</t>
  </si>
  <si>
    <t>Current portion of lease incentives</t>
  </si>
  <si>
    <t>Long term liabilities</t>
  </si>
  <si>
    <t>Deferred revenue</t>
  </si>
  <si>
    <t>Lease incentives</t>
  </si>
  <si>
    <t>Commitments and contingencies</t>
  </si>
  <si>
    <t>Shareholders’ equity</t>
  </si>
  <si>
    <t>Common stock</t>
  </si>
  <si>
    <t>Additional paid-in capital</t>
  </si>
  <si>
    <t>Accumulated other comprehensive loss</t>
  </si>
  <si>
    <t>Total shareholders’ equity</t>
  </si>
  <si>
    <t>Total liabilities and shareholders’ equity</t>
  </si>
  <si>
    <t>This include the wage increase next year</t>
  </si>
  <si>
    <t>I assumed revenue will not double because of the bad PR they had in 2o17</t>
  </si>
  <si>
    <t xml:space="preserve">Exchange rate C$:US$ (av) </t>
  </si>
  <si>
    <t>From Economist Unit Intellegent</t>
  </si>
  <si>
    <t>Source:</t>
  </si>
  <si>
    <t>operations Loss/ Income</t>
  </si>
  <si>
    <t>EBT</t>
  </si>
  <si>
    <t>Tax Expense</t>
  </si>
  <si>
    <t>Net loss/ Income</t>
  </si>
  <si>
    <t>I assumed shopify did not issue/sell debt after 2016</t>
  </si>
  <si>
    <t>Prime Rate + 0.3%</t>
  </si>
  <si>
    <t>Accumulated deficit (RE)</t>
  </si>
  <si>
    <t>Inflation</t>
  </si>
  <si>
    <t>USD</t>
  </si>
  <si>
    <t>Expected income tax expense at Canadian statutory income tax rate of</t>
  </si>
  <si>
    <t>Assume additional paid-in captial will be equal to 2016 for the next 3 years</t>
  </si>
  <si>
    <t>Year 4 is be zero</t>
  </si>
  <si>
    <t>Dep</t>
  </si>
  <si>
    <t xml:space="preserve">Dep </t>
  </si>
  <si>
    <t>All amount in US $000's</t>
  </si>
  <si>
    <t>Cash flows from operating activities</t>
  </si>
  <si>
    <t>Net loss for the year</t>
  </si>
  <si>
    <t>Adjustments:</t>
  </si>
  <si>
    <t>Amortization and depreciation</t>
  </si>
  <si>
    <t>Stock-based compensation</t>
  </si>
  <si>
    <t>Vesting on restricted shares</t>
  </si>
  <si>
    <t>Unrealized foreign exchange (gain) loss</t>
  </si>
  <si>
    <t>Changes in operating assets and liabilities:</t>
  </si>
  <si>
    <t>Net cash provided from operating activities</t>
  </si>
  <si>
    <t>Cash flows from investing activites</t>
  </si>
  <si>
    <t>Purchase of marketable securities</t>
  </si>
  <si>
    <t>Maturity of marketable securities</t>
  </si>
  <si>
    <t>Acquisitions of property and equipment</t>
  </si>
  <si>
    <t>Acquisitions of intangible assets</t>
  </si>
  <si>
    <t>Acquisition of of business, net of cash acquired</t>
  </si>
  <si>
    <t>Net cash used in investing activities</t>
  </si>
  <si>
    <t>Cash flows from financing activities</t>
  </si>
  <si>
    <t>Proceeds from initial public offering, net of issuance costs</t>
  </si>
  <si>
    <t>Proceeds from the exercise of stock options</t>
  </si>
  <si>
    <t>Proceeds from follow-on public offering, net of issuance costs</t>
  </si>
  <si>
    <t>Net cash provided by financing activities</t>
  </si>
  <si>
    <t>Effect of foreign exchange on cash and cash equivalents</t>
  </si>
  <si>
    <t>Net increase (decrease) in cash and cash equivelants</t>
  </si>
  <si>
    <t>Cash and cash equivelants - Beginning of year</t>
  </si>
  <si>
    <t>Cash and cash equivelants - End of year</t>
  </si>
  <si>
    <t>Non-cash investing activities</t>
  </si>
  <si>
    <t>Acquired property and equipment remaining unpaid</t>
  </si>
  <si>
    <t>Capitalized stock-based compensation</t>
  </si>
  <si>
    <t>Not sure</t>
  </si>
  <si>
    <t>Remain the Same</t>
  </si>
  <si>
    <t>Because the CEO turned the company around, I'll give her a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</si>
</sst>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"/>
    <numFmt numFmtId="166" formatCode="&quot;$&quot;#,##0.0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 applyAlignment="1"/>
    <xf numFmtId="15" fontId="0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165" fontId="5" fillId="0" borderId="0" xfId="0" applyNumberFormat="1" applyFont="1" applyAlignment="1"/>
    <xf numFmtId="165" fontId="5" fillId="0" borderId="0" xfId="0" applyNumberFormat="1" applyFont="1"/>
    <xf numFmtId="0" fontId="2" fillId="0" borderId="0" xfId="0" applyFont="1"/>
    <xf numFmtId="0" fontId="0" fillId="0" borderId="0" xfId="0" applyAlignment="1">
      <alignment horizontal="left" indent="3"/>
    </xf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3" fillId="0" borderId="0" xfId="0" applyFont="1"/>
    <xf numFmtId="9" fontId="0" fillId="0" borderId="0" xfId="0" applyNumberFormat="1"/>
    <xf numFmtId="165" fontId="0" fillId="0" borderId="0" xfId="0" applyNumberFormat="1"/>
    <xf numFmtId="0" fontId="6" fillId="0" borderId="0" xfId="0" applyFont="1"/>
    <xf numFmtId="165" fontId="0" fillId="0" borderId="1" xfId="0" applyNumberFormat="1" applyFont="1" applyBorder="1"/>
    <xf numFmtId="164" fontId="5" fillId="0" borderId="0" xfId="1" applyFont="1" applyAlignment="1"/>
    <xf numFmtId="164" fontId="0" fillId="0" borderId="0" xfId="1" applyFont="1"/>
    <xf numFmtId="164" fontId="5" fillId="0" borderId="1" xfId="1" applyFont="1" applyBorder="1" applyAlignment="1"/>
    <xf numFmtId="164" fontId="5" fillId="0" borderId="0" xfId="1" applyFont="1"/>
    <xf numFmtId="164" fontId="5" fillId="0" borderId="2" xfId="1" applyFont="1" applyBorder="1"/>
    <xf numFmtId="164" fontId="5" fillId="0" borderId="3" xfId="1" applyFont="1" applyBorder="1"/>
    <xf numFmtId="164" fontId="5" fillId="0" borderId="1" xfId="1" applyFont="1" applyBorder="1"/>
    <xf numFmtId="164" fontId="5" fillId="0" borderId="4" xfId="1" applyFont="1" applyBorder="1"/>
    <xf numFmtId="3" fontId="0" fillId="0" borderId="0" xfId="0" applyNumberFormat="1"/>
    <xf numFmtId="164" fontId="0" fillId="0" borderId="0" xfId="0" applyNumberFormat="1"/>
    <xf numFmtId="10" fontId="0" fillId="0" borderId="0" xfId="2" applyNumberFormat="1" applyFont="1"/>
    <xf numFmtId="0" fontId="0" fillId="0" borderId="0" xfId="0" quotePrefix="1"/>
    <xf numFmtId="2" fontId="0" fillId="0" borderId="0" xfId="0" applyNumberFormat="1"/>
    <xf numFmtId="164" fontId="0" fillId="0" borderId="1" xfId="1" applyFont="1" applyBorder="1"/>
    <xf numFmtId="165" fontId="0" fillId="0" borderId="0" xfId="1" applyNumberFormat="1" applyFont="1"/>
    <xf numFmtId="165" fontId="7" fillId="0" borderId="7" xfId="0" applyNumberFormat="1" applyFont="1" applyBorder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D222-9A43-496F-9B11-DF9DB5568D79}">
  <dimension ref="B2:U30"/>
  <sheetViews>
    <sheetView tabSelected="1" zoomScale="80" zoomScaleNormal="80" workbookViewId="0">
      <selection activeCell="K32" sqref="K32"/>
    </sheetView>
  </sheetViews>
  <sheetFormatPr defaultRowHeight="15" x14ac:dyDescent="0.25"/>
  <cols>
    <col min="5" max="5" width="9.7109375" bestFit="1" customWidth="1"/>
    <col min="6" max="8" width="12.28515625" bestFit="1" customWidth="1"/>
    <col min="9" max="11" width="12.140625" bestFit="1" customWidth="1"/>
    <col min="15" max="15" width="9.5703125" bestFit="1" customWidth="1"/>
    <col min="16" max="16" width="10.5703125" bestFit="1" customWidth="1"/>
  </cols>
  <sheetData>
    <row r="2" spans="2:20" x14ac:dyDescent="0.25">
      <c r="B2" s="1"/>
      <c r="C2" s="1"/>
      <c r="D2" s="1" t="s">
        <v>67</v>
      </c>
      <c r="F2" s="2">
        <v>42369</v>
      </c>
      <c r="G2" s="2">
        <v>42735</v>
      </c>
      <c r="H2" s="8" t="s">
        <v>12</v>
      </c>
      <c r="I2" s="8" t="s">
        <v>13</v>
      </c>
      <c r="J2" s="8" t="s">
        <v>14</v>
      </c>
      <c r="K2" s="8" t="s">
        <v>15</v>
      </c>
      <c r="P2" t="s">
        <v>16</v>
      </c>
      <c r="Q2" s="9">
        <v>1.8800000000000001E-2</v>
      </c>
    </row>
    <row r="3" spans="2:20" x14ac:dyDescent="0.25">
      <c r="B3" s="1"/>
      <c r="C3" s="1"/>
      <c r="D3" s="1"/>
      <c r="F3" s="1"/>
      <c r="G3" s="1"/>
    </row>
    <row r="4" spans="2:20" x14ac:dyDescent="0.25">
      <c r="B4" s="3" t="s">
        <v>0</v>
      </c>
      <c r="C4" s="1"/>
      <c r="D4" s="1"/>
      <c r="F4" s="1"/>
      <c r="G4" s="1"/>
      <c r="N4" t="s">
        <v>55</v>
      </c>
    </row>
    <row r="5" spans="2:20" x14ac:dyDescent="0.25">
      <c r="B5" s="1"/>
      <c r="C5" s="4" t="s">
        <v>1</v>
      </c>
      <c r="D5" s="1"/>
      <c r="F5" s="17">
        <v>111979</v>
      </c>
      <c r="G5" s="17">
        <v>188606</v>
      </c>
      <c r="H5" s="18">
        <f>G5*(1+$Q$2)</f>
        <v>192151.7928</v>
      </c>
      <c r="I5" s="18">
        <f t="shared" ref="I5:K5" si="0">H5*(1+$Q$2)</f>
        <v>195764.24650463997</v>
      </c>
      <c r="J5" s="18">
        <f t="shared" si="0"/>
        <v>199444.6143389272</v>
      </c>
      <c r="K5" s="18">
        <f t="shared" si="0"/>
        <v>203194.17308849902</v>
      </c>
      <c r="N5" t="s">
        <v>63</v>
      </c>
    </row>
    <row r="6" spans="2:20" x14ac:dyDescent="0.25">
      <c r="B6" s="1"/>
      <c r="C6" s="4" t="s">
        <v>2</v>
      </c>
      <c r="D6" s="1"/>
      <c r="F6" s="17">
        <v>93254</v>
      </c>
      <c r="G6" s="17">
        <v>200724</v>
      </c>
      <c r="H6" s="18">
        <f>G6*(1+$Q$2)</f>
        <v>204497.61119999998</v>
      </c>
      <c r="I6" s="18">
        <f t="shared" ref="I6:K6" si="1">H6*(1+$Q$2)</f>
        <v>208342.16629055998</v>
      </c>
      <c r="J6" s="18">
        <f t="shared" si="1"/>
        <v>212258.99901682249</v>
      </c>
      <c r="K6" s="18">
        <f t="shared" si="1"/>
        <v>216249.46819833873</v>
      </c>
      <c r="Q6" s="11">
        <v>2015</v>
      </c>
      <c r="R6" s="11">
        <v>2016</v>
      </c>
      <c r="S6" s="11" t="s">
        <v>19</v>
      </c>
    </row>
    <row r="7" spans="2:20" x14ac:dyDescent="0.25">
      <c r="B7" s="1"/>
      <c r="C7" s="1"/>
      <c r="D7" s="1"/>
      <c r="F7" s="19">
        <f>SUM(F5,F6)</f>
        <v>205233</v>
      </c>
      <c r="G7" s="19">
        <f>SUM(G5,G6)</f>
        <v>389330</v>
      </c>
      <c r="H7" s="19">
        <f t="shared" ref="H7:K7" si="2">SUM(H5,H6)</f>
        <v>396649.40399999998</v>
      </c>
      <c r="I7" s="19">
        <f t="shared" si="2"/>
        <v>404106.41279519995</v>
      </c>
      <c r="J7" s="19">
        <f t="shared" si="2"/>
        <v>411703.61335574969</v>
      </c>
      <c r="K7" s="19">
        <f t="shared" si="2"/>
        <v>419443.64128683775</v>
      </c>
      <c r="O7" t="s">
        <v>17</v>
      </c>
      <c r="P7" s="10"/>
      <c r="Q7">
        <f>F14/F7</f>
        <v>0.34289807194749383</v>
      </c>
      <c r="R7">
        <f>G14/G7</f>
        <v>0.33188811548044078</v>
      </c>
      <c r="S7" s="12">
        <f>AVERAGE(Q7:R7)</f>
        <v>0.33739309371396731</v>
      </c>
    </row>
    <row r="8" spans="2:20" x14ac:dyDescent="0.25">
      <c r="B8" s="3" t="s">
        <v>3</v>
      </c>
      <c r="C8" s="1"/>
      <c r="D8" s="1"/>
      <c r="F8" s="20"/>
      <c r="G8" s="20"/>
      <c r="H8" s="18"/>
      <c r="I8" s="18"/>
      <c r="J8" s="18"/>
      <c r="K8" s="18"/>
      <c r="O8" t="s">
        <v>18</v>
      </c>
      <c r="P8" s="10"/>
      <c r="Q8">
        <f>F14/F12</f>
        <v>0.62137653966712292</v>
      </c>
      <c r="R8">
        <f>G14/G12</f>
        <v>0.61678799016682972</v>
      </c>
      <c r="S8" s="12">
        <f>AVERAGE(Q8:R8)</f>
        <v>0.61908226491697627</v>
      </c>
    </row>
    <row r="9" spans="2:20" x14ac:dyDescent="0.25">
      <c r="B9" s="1"/>
      <c r="C9" s="4" t="s">
        <v>1</v>
      </c>
      <c r="D9" s="1"/>
      <c r="F9" s="17">
        <v>24531</v>
      </c>
      <c r="G9" s="17">
        <v>39478</v>
      </c>
      <c r="H9" s="18">
        <f>G9*(1+$Q$2)</f>
        <v>40220.186399999999</v>
      </c>
      <c r="I9" s="18">
        <f t="shared" ref="I9:K10" si="3">H9*(1+$Q$2)*$T$14</f>
        <v>34829.877018671992</v>
      </c>
      <c r="J9" s="18">
        <f t="shared" si="3"/>
        <v>30161.976900629568</v>
      </c>
      <c r="K9" s="18">
        <f t="shared" si="3"/>
        <v>26119.668756407191</v>
      </c>
    </row>
    <row r="10" spans="2:20" x14ac:dyDescent="0.25">
      <c r="B10" s="1"/>
      <c r="C10" s="4" t="s">
        <v>2</v>
      </c>
      <c r="D10" s="1"/>
      <c r="F10" s="17">
        <v>67447</v>
      </c>
      <c r="G10" s="17">
        <v>140357</v>
      </c>
      <c r="H10" s="18">
        <f>G10*(1+$Q$2)</f>
        <v>142995.71159999998</v>
      </c>
      <c r="I10" s="18">
        <f t="shared" si="3"/>
        <v>123831.42633136797</v>
      </c>
      <c r="J10" s="18">
        <f t="shared" si="3"/>
        <v>107235.53857443802</v>
      </c>
      <c r="K10" s="18">
        <f t="shared" si="3"/>
        <v>92863.831694691835</v>
      </c>
      <c r="O10" t="s">
        <v>20</v>
      </c>
      <c r="Q10" s="36" t="s">
        <v>21</v>
      </c>
      <c r="R10" s="36"/>
      <c r="S10" s="36"/>
    </row>
    <row r="11" spans="2:20" ht="15.75" thickBot="1" x14ac:dyDescent="0.3">
      <c r="B11" s="1"/>
      <c r="C11" s="1"/>
      <c r="D11" s="1"/>
      <c r="F11" s="21">
        <f>SUM(F9:F10)</f>
        <v>91978</v>
      </c>
      <c r="G11" s="21">
        <f>SUM(G9:G10)</f>
        <v>179835</v>
      </c>
      <c r="H11" s="21">
        <f t="shared" ref="H11:K11" si="4">SUM(H9:H10)</f>
        <v>183215.89799999999</v>
      </c>
      <c r="I11" s="21">
        <f t="shared" si="4"/>
        <v>158661.30335003996</v>
      </c>
      <c r="J11" s="21">
        <f t="shared" si="4"/>
        <v>137397.5154750676</v>
      </c>
      <c r="K11" s="21">
        <f t="shared" si="4"/>
        <v>118983.50045109903</v>
      </c>
      <c r="Q11" s="36"/>
      <c r="R11" s="36"/>
      <c r="S11" s="36"/>
    </row>
    <row r="12" spans="2:20" ht="16.5" thickTop="1" thickBot="1" x14ac:dyDescent="0.3">
      <c r="B12" s="3" t="s">
        <v>4</v>
      </c>
      <c r="C12" s="1"/>
      <c r="D12" s="1"/>
      <c r="F12" s="22">
        <f>F7-F11</f>
        <v>113255</v>
      </c>
      <c r="G12" s="22">
        <f>G7-G11</f>
        <v>209495</v>
      </c>
      <c r="H12" s="22">
        <f t="shared" ref="H12:K12" si="5">H7-H11</f>
        <v>213433.50599999999</v>
      </c>
      <c r="I12" s="22">
        <f t="shared" si="5"/>
        <v>245445.10944515999</v>
      </c>
      <c r="J12" s="22">
        <f t="shared" si="5"/>
        <v>274306.09788068209</v>
      </c>
      <c r="K12" s="22">
        <f t="shared" si="5"/>
        <v>300460.14083573874</v>
      </c>
    </row>
    <row r="13" spans="2:20" ht="15.75" thickTop="1" x14ac:dyDescent="0.25">
      <c r="B13" s="3" t="s">
        <v>5</v>
      </c>
      <c r="C13" s="1"/>
      <c r="D13" s="1"/>
      <c r="F13" s="20"/>
      <c r="G13" s="20"/>
      <c r="H13" s="18"/>
      <c r="I13" s="18"/>
      <c r="J13" s="18"/>
      <c r="K13" s="18"/>
      <c r="Q13" s="37" t="s">
        <v>22</v>
      </c>
      <c r="R13" s="37"/>
      <c r="S13" s="37"/>
      <c r="T13" s="37"/>
    </row>
    <row r="14" spans="2:20" x14ac:dyDescent="0.25">
      <c r="B14" s="1"/>
      <c r="C14" s="4" t="s">
        <v>6</v>
      </c>
      <c r="D14" s="1"/>
      <c r="F14" s="17">
        <v>70374</v>
      </c>
      <c r="G14" s="17">
        <v>129214</v>
      </c>
      <c r="H14" s="18">
        <f>$S$7*H7</f>
        <v>133826.76953536127</v>
      </c>
      <c r="I14" s="18">
        <f t="shared" ref="I14:K14" si="6">$S$7*I7</f>
        <v>136342.71280262605</v>
      </c>
      <c r="J14" s="18">
        <f t="shared" si="6"/>
        <v>138905.95580331542</v>
      </c>
      <c r="K14" s="18">
        <f t="shared" si="6"/>
        <v>141517.38777241774</v>
      </c>
      <c r="T14" s="13">
        <v>0.85</v>
      </c>
    </row>
    <row r="15" spans="2:20" x14ac:dyDescent="0.25">
      <c r="B15" s="1"/>
      <c r="C15" s="4" t="s">
        <v>7</v>
      </c>
      <c r="D15" s="1"/>
      <c r="F15" s="17">
        <v>39722</v>
      </c>
      <c r="G15" s="17">
        <v>74336</v>
      </c>
      <c r="H15" s="18">
        <f>G15*(1+$Q$2)*$S$17</f>
        <v>68160.165120000005</v>
      </c>
      <c r="I15" s="18">
        <f t="shared" ref="I15:K15" si="7">H15*(1+$Q$2)*$S$17</f>
        <v>62497.418601830403</v>
      </c>
      <c r="J15" s="18">
        <f t="shared" si="7"/>
        <v>57305.133064390327</v>
      </c>
      <c r="K15" s="18">
        <f t="shared" si="7"/>
        <v>52544.222609400771</v>
      </c>
    </row>
    <row r="16" spans="2:20" x14ac:dyDescent="0.25">
      <c r="B16" s="1"/>
      <c r="C16" s="4" t="s">
        <v>7</v>
      </c>
      <c r="D16" s="1"/>
      <c r="F16" s="17">
        <v>20915</v>
      </c>
      <c r="G16" s="17">
        <v>43110</v>
      </c>
      <c r="H16" s="18">
        <f>G16*(1+$Q$2)*(1+$S$22)</f>
        <v>44798.877359999991</v>
      </c>
      <c r="I16" s="18">
        <f t="shared" ref="I16:K16" si="8">H16*(1+$Q$2)*(1+$S$22)</f>
        <v>46553.918179455344</v>
      </c>
      <c r="J16" s="18">
        <f t="shared" si="8"/>
        <v>48377.714478053684</v>
      </c>
      <c r="K16" s="18">
        <f t="shared" si="8"/>
        <v>50272.959820445911</v>
      </c>
      <c r="O16" t="s">
        <v>26</v>
      </c>
      <c r="Q16" t="s">
        <v>23</v>
      </c>
    </row>
    <row r="17" spans="2:21" x14ac:dyDescent="0.25">
      <c r="B17" s="4" t="s">
        <v>8</v>
      </c>
      <c r="C17" s="1"/>
      <c r="D17" s="1"/>
      <c r="F17" s="23">
        <f>SUM(F14:F16)</f>
        <v>131011</v>
      </c>
      <c r="G17" s="23">
        <f>SUM(G14:G16)</f>
        <v>246660</v>
      </c>
      <c r="H17" s="23">
        <f t="shared" ref="H17:K17" si="9">SUM(H14:H16)</f>
        <v>246785.81201536127</v>
      </c>
      <c r="I17" s="23">
        <f t="shared" si="9"/>
        <v>245394.04958391178</v>
      </c>
      <c r="J17" s="23">
        <f t="shared" si="9"/>
        <v>244588.80334575943</v>
      </c>
      <c r="K17" s="23">
        <f t="shared" si="9"/>
        <v>244334.57020226444</v>
      </c>
      <c r="Q17" t="s">
        <v>24</v>
      </c>
      <c r="S17" s="13">
        <v>0.9</v>
      </c>
    </row>
    <row r="18" spans="2:21" ht="15.75" thickBot="1" x14ac:dyDescent="0.3">
      <c r="B18" s="3" t="s">
        <v>59</v>
      </c>
      <c r="C18" s="1"/>
      <c r="D18" s="1"/>
      <c r="F18" s="24">
        <f>F12-F17</f>
        <v>-17756</v>
      </c>
      <c r="G18" s="24">
        <f>G12-G17</f>
        <v>-37165</v>
      </c>
      <c r="H18" s="24">
        <f t="shared" ref="H18:K18" si="10">H12-H17</f>
        <v>-33352.306015361275</v>
      </c>
      <c r="I18" s="24">
        <f t="shared" si="10"/>
        <v>51.059861248213565</v>
      </c>
      <c r="J18" s="24">
        <f t="shared" si="10"/>
        <v>29717.294534922665</v>
      </c>
      <c r="K18" s="24">
        <f t="shared" si="10"/>
        <v>56125.570633474301</v>
      </c>
    </row>
    <row r="19" spans="2:21" ht="15.75" thickTop="1" x14ac:dyDescent="0.25">
      <c r="B19" s="3" t="s">
        <v>9</v>
      </c>
      <c r="C19" s="1"/>
      <c r="D19" s="1"/>
      <c r="F19" s="20"/>
      <c r="G19" s="20"/>
      <c r="H19" s="18"/>
      <c r="I19" s="18"/>
      <c r="J19" s="18"/>
      <c r="K19" s="18"/>
      <c r="Q19" s="36" t="s">
        <v>25</v>
      </c>
      <c r="R19" s="36"/>
      <c r="S19" s="36"/>
    </row>
    <row r="20" spans="2:21" x14ac:dyDescent="0.25">
      <c r="B20" s="1"/>
      <c r="C20" s="4" t="s">
        <v>10</v>
      </c>
      <c r="D20" s="1"/>
      <c r="F20" s="17">
        <v>200</v>
      </c>
      <c r="G20" s="17">
        <v>1536</v>
      </c>
      <c r="H20" s="18">
        <f>G20*(1+$Q$2)</f>
        <v>1564.8768</v>
      </c>
      <c r="I20" s="18">
        <f t="shared" ref="I20:K20" si="11">H20*(1+$Q$2)</f>
        <v>1594.2964838399998</v>
      </c>
      <c r="J20" s="18">
        <f t="shared" si="11"/>
        <v>1624.2692577361918</v>
      </c>
      <c r="K20" s="18">
        <f t="shared" si="11"/>
        <v>1654.805519781632</v>
      </c>
      <c r="L20" s="28"/>
      <c r="M20" t="s">
        <v>64</v>
      </c>
      <c r="Q20" s="36"/>
      <c r="R20" s="36"/>
      <c r="S20" s="36"/>
    </row>
    <row r="21" spans="2:21" x14ac:dyDescent="0.25">
      <c r="B21" s="7"/>
      <c r="C21" s="4" t="s">
        <v>11</v>
      </c>
      <c r="D21" s="1"/>
      <c r="F21" s="17">
        <v>-1234</v>
      </c>
      <c r="G21" s="17">
        <v>274</v>
      </c>
      <c r="H21" s="18">
        <v>-667.04</v>
      </c>
      <c r="I21" s="18">
        <v>-374.34</v>
      </c>
      <c r="J21" s="18">
        <v>-1804.33</v>
      </c>
      <c r="K21" s="18">
        <v>-3734.92</v>
      </c>
      <c r="M21" s="27">
        <f xml:space="preserve"> 3.5%</f>
        <v>3.5000000000000003E-2</v>
      </c>
      <c r="O21" s="29">
        <f>(O27-N27)/N27</f>
        <v>0.15829807116784858</v>
      </c>
      <c r="Q21" s="36"/>
      <c r="R21" s="36"/>
      <c r="S21" s="36"/>
    </row>
    <row r="22" spans="2:21" x14ac:dyDescent="0.25">
      <c r="C22" s="1"/>
      <c r="D22" s="1"/>
      <c r="F22" s="23">
        <f>SUM(F20:F21)</f>
        <v>-1034</v>
      </c>
      <c r="G22" s="23">
        <f>SUM(G20:G21)</f>
        <v>1810</v>
      </c>
      <c r="H22" s="23">
        <f t="shared" ref="H22:K22" si="12">SUM(H20:H21)</f>
        <v>897.83680000000004</v>
      </c>
      <c r="I22" s="23">
        <f t="shared" si="12"/>
        <v>1219.9564838399999</v>
      </c>
      <c r="J22" s="23">
        <f t="shared" si="12"/>
        <v>-180.06074226380815</v>
      </c>
      <c r="K22" s="23">
        <f t="shared" si="12"/>
        <v>-2080.114480218368</v>
      </c>
      <c r="O22" s="26">
        <f>F18*O21</f>
        <v>-2810.7405516563194</v>
      </c>
      <c r="S22" s="13">
        <v>0.02</v>
      </c>
    </row>
    <row r="23" spans="2:21" ht="15.75" customHeight="1" x14ac:dyDescent="0.25">
      <c r="C23" t="s">
        <v>60</v>
      </c>
      <c r="F23" s="26">
        <f>F18+F22</f>
        <v>-18790</v>
      </c>
      <c r="G23" s="26">
        <f t="shared" ref="G23:K23" si="13">G18+G22</f>
        <v>-35355</v>
      </c>
      <c r="H23" s="26">
        <f t="shared" si="13"/>
        <v>-32454.469215361274</v>
      </c>
      <c r="I23" s="26">
        <f t="shared" si="13"/>
        <v>1271.0163450882135</v>
      </c>
      <c r="J23" s="26">
        <f t="shared" si="13"/>
        <v>29537.233792658855</v>
      </c>
      <c r="K23" s="26">
        <f t="shared" si="13"/>
        <v>54045.456153255931</v>
      </c>
      <c r="P23" s="26"/>
      <c r="R23" s="36" t="s">
        <v>54</v>
      </c>
      <c r="S23" s="36"/>
    </row>
    <row r="24" spans="2:21" x14ac:dyDescent="0.25">
      <c r="C24" t="s">
        <v>61</v>
      </c>
      <c r="F24">
        <v>0</v>
      </c>
      <c r="G24">
        <v>0</v>
      </c>
      <c r="H24">
        <v>0</v>
      </c>
      <c r="I24" s="26">
        <f>I23*$I$30</f>
        <v>336.94643308288539</v>
      </c>
      <c r="J24" s="26">
        <f t="shared" ref="J24:K24" si="14">J23*$I$30</f>
        <v>7830.3206784338627</v>
      </c>
      <c r="K24" s="26">
        <f t="shared" si="14"/>
        <v>14327.450426228148</v>
      </c>
      <c r="L24" s="26"/>
      <c r="R24" s="36"/>
      <c r="S24" s="36"/>
    </row>
    <row r="25" spans="2:21" ht="15.75" thickBot="1" x14ac:dyDescent="0.3">
      <c r="B25" s="3" t="s">
        <v>62</v>
      </c>
      <c r="C25" s="1"/>
      <c r="D25" s="1"/>
      <c r="F25" s="24">
        <f>F23-F24</f>
        <v>-18790</v>
      </c>
      <c r="G25" s="24">
        <f t="shared" ref="G25:K25" si="15">G23-G24</f>
        <v>-35355</v>
      </c>
      <c r="H25" s="24">
        <f t="shared" si="15"/>
        <v>-32454.469215361274</v>
      </c>
      <c r="I25" s="24">
        <f t="shared" si="15"/>
        <v>934.06991200532809</v>
      </c>
      <c r="J25" s="24">
        <f t="shared" si="15"/>
        <v>21706.913114224993</v>
      </c>
      <c r="K25" s="24">
        <f t="shared" si="15"/>
        <v>39718.005727027783</v>
      </c>
      <c r="R25" s="36"/>
      <c r="S25" s="36"/>
    </row>
    <row r="26" spans="2:21" ht="15.75" thickTop="1" x14ac:dyDescent="0.25">
      <c r="N26">
        <v>2014</v>
      </c>
      <c r="O26">
        <v>2015</v>
      </c>
      <c r="P26">
        <v>2016</v>
      </c>
      <c r="Q26">
        <f>P26+1</f>
        <v>2017</v>
      </c>
      <c r="R26">
        <f t="shared" ref="R26:T26" si="16">Q26+1</f>
        <v>2018</v>
      </c>
      <c r="S26">
        <f t="shared" si="16"/>
        <v>2019</v>
      </c>
      <c r="T26">
        <f t="shared" si="16"/>
        <v>2020</v>
      </c>
    </row>
    <row r="27" spans="2:21" x14ac:dyDescent="0.25">
      <c r="K27" t="s">
        <v>56</v>
      </c>
      <c r="N27" s="29">
        <v>1.104347</v>
      </c>
      <c r="O27" s="29">
        <v>1.279163</v>
      </c>
      <c r="P27">
        <v>1.33</v>
      </c>
      <c r="Q27">
        <v>1.31</v>
      </c>
      <c r="R27">
        <v>1.29</v>
      </c>
      <c r="S27">
        <v>1.26</v>
      </c>
      <c r="T27">
        <v>1.22</v>
      </c>
    </row>
    <row r="28" spans="2:21" x14ac:dyDescent="0.25">
      <c r="N28" s="29"/>
      <c r="O28" s="29"/>
      <c r="P28" s="29"/>
      <c r="Q28" s="29"/>
      <c r="R28" s="29"/>
      <c r="S28" s="29"/>
      <c r="T28" s="29"/>
      <c r="U28" s="29"/>
    </row>
    <row r="29" spans="2:21" x14ac:dyDescent="0.25">
      <c r="I29" t="s">
        <v>68</v>
      </c>
      <c r="S29" t="s">
        <v>58</v>
      </c>
      <c r="T29" t="s">
        <v>57</v>
      </c>
    </row>
    <row r="30" spans="2:21" x14ac:dyDescent="0.25">
      <c r="I30" s="9">
        <v>0.2651</v>
      </c>
    </row>
  </sheetData>
  <mergeCells count="4">
    <mergeCell ref="Q10:S11"/>
    <mergeCell ref="Q13:T13"/>
    <mergeCell ref="Q19:S21"/>
    <mergeCell ref="R23:S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6C31-2737-4D9E-B57A-82A480EC921C}">
  <dimension ref="A1:P35"/>
  <sheetViews>
    <sheetView zoomScale="70" zoomScaleNormal="70" workbookViewId="0">
      <selection activeCell="H46" sqref="H46"/>
    </sheetView>
  </sheetViews>
  <sheetFormatPr defaultRowHeight="15" x14ac:dyDescent="0.25"/>
  <cols>
    <col min="2" max="2" width="37" bestFit="1" customWidth="1"/>
    <col min="3" max="4" width="11.28515625" bestFit="1" customWidth="1"/>
    <col min="5" max="5" width="13.5703125" bestFit="1" customWidth="1"/>
    <col min="6" max="8" width="14.42578125" bestFit="1" customWidth="1"/>
    <col min="16" max="16" width="10.140625" bestFit="1" customWidth="1"/>
  </cols>
  <sheetData>
    <row r="1" spans="1:16" x14ac:dyDescent="0.25">
      <c r="A1" s="1"/>
      <c r="B1" s="1"/>
      <c r="C1" s="2">
        <v>42369</v>
      </c>
      <c r="D1" s="2">
        <v>42735</v>
      </c>
      <c r="E1">
        <v>2017</v>
      </c>
      <c r="F1">
        <v>2018</v>
      </c>
      <c r="G1">
        <v>2019</v>
      </c>
      <c r="H1">
        <v>2020</v>
      </c>
      <c r="L1" t="s">
        <v>66</v>
      </c>
      <c r="M1" s="9">
        <v>1.8800000000000001E-2</v>
      </c>
    </row>
    <row r="2" spans="1:16" x14ac:dyDescent="0.25">
      <c r="A2" s="15" t="s">
        <v>27</v>
      </c>
      <c r="B2" s="1"/>
      <c r="C2" s="1"/>
      <c r="D2" s="1"/>
    </row>
    <row r="3" spans="1:16" x14ac:dyDescent="0.25">
      <c r="A3" s="1"/>
      <c r="B3" s="15" t="s">
        <v>28</v>
      </c>
      <c r="C3" s="1"/>
      <c r="D3" s="1"/>
    </row>
    <row r="4" spans="1:16" x14ac:dyDescent="0.25">
      <c r="A4" s="1"/>
      <c r="B4" s="1" t="s">
        <v>29</v>
      </c>
      <c r="C4" s="6">
        <v>110070</v>
      </c>
      <c r="D4" s="6">
        <v>84013</v>
      </c>
      <c r="E4" s="18">
        <v>75832.44</v>
      </c>
      <c r="F4" s="18">
        <f>E4*(1+$M$1)+'Income Statement'!I25</f>
        <v>78192.159784005329</v>
      </c>
      <c r="G4" s="18">
        <f>F4*(1+$M$1)+'Income Statement'!J25</f>
        <v>101369.08550216962</v>
      </c>
      <c r="H4" s="18">
        <f>G4*(1+$M$1)+'Income Statement'!K25</f>
        <v>142992.83003663819</v>
      </c>
      <c r="L4" s="14"/>
    </row>
    <row r="5" spans="1:16" x14ac:dyDescent="0.25">
      <c r="A5" s="1"/>
      <c r="B5" s="1" t="s">
        <v>30</v>
      </c>
      <c r="C5" s="6">
        <v>80103</v>
      </c>
      <c r="D5" s="6">
        <v>308401</v>
      </c>
      <c r="E5" s="31">
        <f>D5</f>
        <v>308401</v>
      </c>
      <c r="F5" s="18">
        <v>302710.05</v>
      </c>
      <c r="G5" s="18">
        <f>F5</f>
        <v>302710.05</v>
      </c>
      <c r="H5" s="18">
        <f>G5</f>
        <v>302710.05</v>
      </c>
      <c r="L5" s="14"/>
    </row>
    <row r="6" spans="1:16" x14ac:dyDescent="0.25">
      <c r="A6" s="1"/>
      <c r="B6" s="1" t="s">
        <v>31</v>
      </c>
      <c r="C6" s="6">
        <v>6089</v>
      </c>
      <c r="D6" s="6">
        <v>9599</v>
      </c>
      <c r="E6" s="18">
        <v>7625</v>
      </c>
      <c r="F6" s="18">
        <f>E6*(1+$M$1)</f>
        <v>7768.3499999999995</v>
      </c>
      <c r="G6" s="18">
        <f t="shared" ref="G6:H6" si="0">F6*(1+$M$1)</f>
        <v>7914.3949799999991</v>
      </c>
      <c r="H6" s="18">
        <f t="shared" si="0"/>
        <v>8063.1856056239985</v>
      </c>
    </row>
    <row r="7" spans="1:16" x14ac:dyDescent="0.25">
      <c r="A7" s="1"/>
      <c r="B7" s="1" t="s">
        <v>32</v>
      </c>
      <c r="C7" s="5">
        <v>0</v>
      </c>
      <c r="D7" s="6">
        <v>11896</v>
      </c>
      <c r="E7" s="18">
        <v>0</v>
      </c>
      <c r="F7" s="18">
        <v>17947</v>
      </c>
      <c r="G7" s="18">
        <v>31729</v>
      </c>
      <c r="H7" s="18">
        <v>13517</v>
      </c>
    </row>
    <row r="8" spans="1:16" x14ac:dyDescent="0.25">
      <c r="A8" s="1"/>
      <c r="B8" s="1" t="s">
        <v>33</v>
      </c>
      <c r="C8" s="6">
        <v>6203</v>
      </c>
      <c r="D8" s="6">
        <v>8989</v>
      </c>
      <c r="E8" s="18">
        <f>D8*(1+$M$1)</f>
        <v>9157.993199999999</v>
      </c>
      <c r="F8" s="18">
        <f t="shared" ref="F8:H8" si="1">E8*(1+$M$1)</f>
        <v>9330.1634721599985</v>
      </c>
      <c r="G8" s="18">
        <f t="shared" si="1"/>
        <v>9505.5705454366052</v>
      </c>
      <c r="H8" s="18">
        <f t="shared" si="1"/>
        <v>9684.2752716908126</v>
      </c>
    </row>
    <row r="9" spans="1:16" x14ac:dyDescent="0.25">
      <c r="A9" s="1"/>
      <c r="B9" s="1"/>
      <c r="C9" s="16">
        <f>SUM(C4:C8)</f>
        <v>202465</v>
      </c>
      <c r="D9" s="16">
        <f>SUM(D4:D8)</f>
        <v>422898</v>
      </c>
      <c r="E9" s="30">
        <f t="shared" ref="E9:H9" si="2">SUM(E4:E8)</f>
        <v>401016.43320000003</v>
      </c>
      <c r="F9" s="30">
        <f t="shared" si="2"/>
        <v>415947.72325616528</v>
      </c>
      <c r="G9" s="30">
        <f t="shared" si="2"/>
        <v>453228.10102760617</v>
      </c>
      <c r="H9" s="30">
        <f t="shared" si="2"/>
        <v>476967.34091395297</v>
      </c>
    </row>
    <row r="10" spans="1:16" x14ac:dyDescent="0.25">
      <c r="A10" s="1"/>
      <c r="B10" s="15" t="s">
        <v>34</v>
      </c>
      <c r="C10" s="6"/>
      <c r="D10" s="6"/>
    </row>
    <row r="11" spans="1:16" x14ac:dyDescent="0.25">
      <c r="A11" s="1"/>
      <c r="B11" s="1" t="s">
        <v>35</v>
      </c>
      <c r="C11" s="6">
        <v>33048</v>
      </c>
      <c r="D11" s="6">
        <v>45719</v>
      </c>
      <c r="E11" s="14">
        <f>D11-$L$11</f>
        <v>36934</v>
      </c>
      <c r="F11" s="14">
        <f t="shared" ref="F11:H11" si="3">E11-$L$11</f>
        <v>28149</v>
      </c>
      <c r="G11" s="14">
        <f t="shared" si="3"/>
        <v>19364</v>
      </c>
      <c r="H11" s="14">
        <f t="shared" si="3"/>
        <v>10579</v>
      </c>
      <c r="K11" t="s">
        <v>71</v>
      </c>
      <c r="L11" s="25">
        <v>8785</v>
      </c>
    </row>
    <row r="12" spans="1:16" x14ac:dyDescent="0.25">
      <c r="A12" s="1"/>
      <c r="B12" s="1" t="s">
        <v>36</v>
      </c>
      <c r="C12" s="6">
        <v>5826</v>
      </c>
      <c r="D12" s="6">
        <v>6437</v>
      </c>
      <c r="E12" s="14">
        <f>D12-$L$12</f>
        <v>5023</v>
      </c>
      <c r="F12" s="14">
        <f t="shared" ref="F12:H12" si="4">E12-$L$12</f>
        <v>3609</v>
      </c>
      <c r="G12" s="14">
        <f t="shared" si="4"/>
        <v>2195</v>
      </c>
      <c r="H12" s="14">
        <f t="shared" si="4"/>
        <v>781</v>
      </c>
      <c r="K12" t="s">
        <v>72</v>
      </c>
      <c r="L12">
        <v>1414</v>
      </c>
    </row>
    <row r="13" spans="1:16" x14ac:dyDescent="0.25">
      <c r="A13" s="1"/>
      <c r="B13" s="1" t="s">
        <v>37</v>
      </c>
      <c r="C13" s="6">
        <v>2373</v>
      </c>
      <c r="D13" s="6">
        <v>15504</v>
      </c>
      <c r="E13" s="14">
        <f>D13</f>
        <v>15504</v>
      </c>
      <c r="F13" s="14">
        <f t="shared" ref="F13:H13" si="5">E13</f>
        <v>15504</v>
      </c>
      <c r="G13" s="14">
        <f t="shared" si="5"/>
        <v>15504</v>
      </c>
      <c r="H13" s="14">
        <f t="shared" si="5"/>
        <v>15504</v>
      </c>
    </row>
    <row r="14" spans="1:16" x14ac:dyDescent="0.25">
      <c r="A14" s="1"/>
      <c r="B14" s="1"/>
      <c r="C14" s="16">
        <f>SUM(C11:C13)</f>
        <v>41247</v>
      </c>
      <c r="D14" s="16">
        <f>SUM(D11:D13)</f>
        <v>67660</v>
      </c>
      <c r="E14" s="16">
        <f t="shared" ref="E14:H14" si="6">SUM(E11:E13)</f>
        <v>57461</v>
      </c>
      <c r="F14" s="16">
        <f t="shared" si="6"/>
        <v>47262</v>
      </c>
      <c r="G14" s="16">
        <f t="shared" si="6"/>
        <v>37063</v>
      </c>
      <c r="H14" s="16">
        <f t="shared" si="6"/>
        <v>26864</v>
      </c>
      <c r="P14" s="14"/>
    </row>
    <row r="15" spans="1:16" ht="16.5" thickBot="1" x14ac:dyDescent="0.3">
      <c r="A15" s="15" t="s">
        <v>38</v>
      </c>
      <c r="B15" s="1"/>
      <c r="C15" s="32">
        <f>C9+C14</f>
        <v>243712</v>
      </c>
      <c r="D15" s="32">
        <f>D9+D14</f>
        <v>490558</v>
      </c>
      <c r="E15" s="32">
        <f t="shared" ref="E15:H15" si="7">E9+E14</f>
        <v>458477.43320000003</v>
      </c>
      <c r="F15" s="32">
        <f t="shared" si="7"/>
        <v>463209.72325616528</v>
      </c>
      <c r="G15" s="32">
        <f t="shared" si="7"/>
        <v>490291.10102760617</v>
      </c>
      <c r="H15" s="32">
        <f t="shared" si="7"/>
        <v>503831.34091395297</v>
      </c>
    </row>
    <row r="16" spans="1:16" ht="15.75" thickTop="1" x14ac:dyDescent="0.25">
      <c r="A16" s="15" t="s">
        <v>39</v>
      </c>
      <c r="B16" s="1"/>
      <c r="C16" s="6"/>
      <c r="D16" s="6"/>
    </row>
    <row r="17" spans="1:16" x14ac:dyDescent="0.25">
      <c r="A17" s="1"/>
      <c r="B17" s="15" t="s">
        <v>40</v>
      </c>
      <c r="C17" s="6"/>
      <c r="D17" s="6"/>
    </row>
    <row r="18" spans="1:16" x14ac:dyDescent="0.25">
      <c r="A18" s="1"/>
      <c r="B18" s="1" t="s">
        <v>41</v>
      </c>
      <c r="C18" s="6">
        <v>23689</v>
      </c>
      <c r="D18" s="6">
        <v>45057</v>
      </c>
      <c r="E18" s="18">
        <f>D18*(1+$M$1)</f>
        <v>45904.071599999996</v>
      </c>
      <c r="F18" s="18">
        <f t="shared" ref="F18:H18" si="8">E18*(1+$M$1)</f>
        <v>46767.06814607999</v>
      </c>
      <c r="G18" s="18">
        <f t="shared" si="8"/>
        <v>47646.289027226288</v>
      </c>
      <c r="H18" s="18">
        <f t="shared" si="8"/>
        <v>48542.039260938138</v>
      </c>
    </row>
    <row r="19" spans="1:16" x14ac:dyDescent="0.25">
      <c r="A19" s="1"/>
      <c r="B19" s="1" t="s">
        <v>42</v>
      </c>
      <c r="C19" s="6">
        <v>12726</v>
      </c>
      <c r="D19" s="6">
        <v>20164</v>
      </c>
      <c r="E19" s="18">
        <f>D19*(1+$M$1)</f>
        <v>20543.083199999997</v>
      </c>
      <c r="F19" s="18">
        <f t="shared" ref="F19:H19" si="9">E19*(1+$M$1)</f>
        <v>20929.293164159997</v>
      </c>
      <c r="G19" s="18">
        <f t="shared" si="9"/>
        <v>21322.763875646204</v>
      </c>
      <c r="H19" s="18">
        <f t="shared" si="9"/>
        <v>21723.63183650835</v>
      </c>
    </row>
    <row r="20" spans="1:16" x14ac:dyDescent="0.25">
      <c r="A20" s="1"/>
      <c r="B20" s="1" t="s">
        <v>43</v>
      </c>
      <c r="C20" s="6">
        <v>822</v>
      </c>
      <c r="D20" s="6">
        <v>1311</v>
      </c>
      <c r="E20">
        <v>807</v>
      </c>
      <c r="F20">
        <v>1246</v>
      </c>
      <c r="G20">
        <v>1523</v>
      </c>
      <c r="H20">
        <v>1601</v>
      </c>
    </row>
    <row r="21" spans="1:16" x14ac:dyDescent="0.25">
      <c r="A21" s="1"/>
      <c r="B21" s="1"/>
      <c r="C21" s="16">
        <f>SUM(C18:C20)</f>
        <v>37237</v>
      </c>
      <c r="D21" s="16">
        <f>SUM(D18:D20)</f>
        <v>66532</v>
      </c>
      <c r="E21" s="16">
        <f t="shared" ref="E21:H21" si="10">SUM(E18:E20)</f>
        <v>67254.154799999989</v>
      </c>
      <c r="F21" s="16">
        <f t="shared" si="10"/>
        <v>68942.361310239983</v>
      </c>
      <c r="G21" s="16">
        <f t="shared" si="10"/>
        <v>70492.0529028725</v>
      </c>
      <c r="H21" s="16">
        <f t="shared" si="10"/>
        <v>71866.671097446495</v>
      </c>
    </row>
    <row r="22" spans="1:16" x14ac:dyDescent="0.25">
      <c r="A22" s="1"/>
      <c r="B22" s="15" t="s">
        <v>44</v>
      </c>
      <c r="C22" s="6"/>
      <c r="D22" s="6"/>
    </row>
    <row r="23" spans="1:16" x14ac:dyDescent="0.25">
      <c r="A23" s="1"/>
      <c r="B23" s="1" t="s">
        <v>45</v>
      </c>
      <c r="C23" s="6">
        <v>661</v>
      </c>
      <c r="D23" s="6">
        <v>922</v>
      </c>
      <c r="E23" s="18">
        <f>D23*(1+$M$1)</f>
        <v>939.33359999999993</v>
      </c>
      <c r="F23" s="18">
        <f t="shared" ref="F23:H23" si="11">E23*(1+$M$1)</f>
        <v>956.99307167999984</v>
      </c>
      <c r="G23" s="18">
        <f t="shared" si="11"/>
        <v>974.98454142758374</v>
      </c>
      <c r="H23" s="18">
        <f t="shared" si="11"/>
        <v>993.31425080642225</v>
      </c>
    </row>
    <row r="24" spans="1:16" x14ac:dyDescent="0.25">
      <c r="A24" s="1"/>
      <c r="B24" s="1" t="s">
        <v>46</v>
      </c>
      <c r="C24" s="6">
        <v>10497</v>
      </c>
      <c r="D24" s="6">
        <v>12628</v>
      </c>
      <c r="E24" s="18">
        <v>10444</v>
      </c>
      <c r="F24" s="18">
        <v>12537</v>
      </c>
      <c r="G24" s="18">
        <v>16601</v>
      </c>
      <c r="H24" s="18">
        <v>16723</v>
      </c>
    </row>
    <row r="25" spans="1:16" x14ac:dyDescent="0.25">
      <c r="A25" s="1"/>
      <c r="B25" s="1"/>
      <c r="C25" s="16">
        <f>SUM(C23:C24)</f>
        <v>11158</v>
      </c>
      <c r="D25" s="16">
        <f>SUM(D23:D24)</f>
        <v>13550</v>
      </c>
      <c r="E25" s="16">
        <f t="shared" ref="E25:H25" si="12">SUM(E23:E24)</f>
        <v>11383.3336</v>
      </c>
      <c r="F25" s="16">
        <f t="shared" si="12"/>
        <v>13493.993071679999</v>
      </c>
      <c r="G25" s="16">
        <f t="shared" si="12"/>
        <v>17575.984541427584</v>
      </c>
      <c r="H25" s="16">
        <f t="shared" si="12"/>
        <v>17716.314250806423</v>
      </c>
    </row>
    <row r="26" spans="1:16" x14ac:dyDescent="0.25">
      <c r="A26" s="1"/>
      <c r="B26" s="15" t="s">
        <v>47</v>
      </c>
      <c r="C26" s="6"/>
      <c r="D26" s="6"/>
    </row>
    <row r="27" spans="1:16" x14ac:dyDescent="0.25">
      <c r="A27" s="15" t="s">
        <v>48</v>
      </c>
      <c r="B27" s="1"/>
      <c r="C27" s="6"/>
      <c r="D27" s="6"/>
    </row>
    <row r="28" spans="1:16" x14ac:dyDescent="0.25">
      <c r="A28" s="1"/>
      <c r="B28" s="1" t="s">
        <v>49</v>
      </c>
      <c r="C28" s="6">
        <v>231452</v>
      </c>
      <c r="D28" s="6">
        <v>468494</v>
      </c>
      <c r="E28" s="14">
        <f>D28</f>
        <v>468494</v>
      </c>
      <c r="F28" s="14">
        <f t="shared" ref="F28:G28" si="13">E28</f>
        <v>468494</v>
      </c>
      <c r="G28" s="14">
        <f t="shared" si="13"/>
        <v>468494</v>
      </c>
      <c r="H28" s="14">
        <f>G28</f>
        <v>468494</v>
      </c>
    </row>
    <row r="29" spans="1:16" x14ac:dyDescent="0.25">
      <c r="A29" s="1"/>
      <c r="B29" s="1" t="s">
        <v>50</v>
      </c>
      <c r="C29" s="6">
        <v>11719</v>
      </c>
      <c r="D29" s="6">
        <v>27009</v>
      </c>
      <c r="E29" s="14">
        <f>D29</f>
        <v>27009</v>
      </c>
      <c r="F29" s="14">
        <f t="shared" ref="F29:G29" si="14">E29</f>
        <v>27009</v>
      </c>
      <c r="G29" s="14">
        <f t="shared" si="14"/>
        <v>27009</v>
      </c>
      <c r="H29">
        <v>0</v>
      </c>
      <c r="L29" s="36" t="s">
        <v>69</v>
      </c>
      <c r="M29" s="36"/>
      <c r="N29" s="36"/>
      <c r="O29" s="36"/>
      <c r="P29" s="36"/>
    </row>
    <row r="30" spans="1:16" x14ac:dyDescent="0.25">
      <c r="A30" s="1"/>
      <c r="B30" s="1" t="s">
        <v>51</v>
      </c>
      <c r="C30" s="6">
        <v>0</v>
      </c>
      <c r="D30" s="6">
        <v>-1818</v>
      </c>
      <c r="E30" s="33"/>
      <c r="F30">
        <v>0</v>
      </c>
      <c r="G30">
        <v>0</v>
      </c>
      <c r="H30">
        <v>0</v>
      </c>
      <c r="L30" s="36"/>
      <c r="M30" s="36"/>
      <c r="N30" s="36"/>
      <c r="O30" s="36"/>
      <c r="P30" s="36"/>
    </row>
    <row r="31" spans="1:16" x14ac:dyDescent="0.25">
      <c r="A31" s="1"/>
      <c r="B31" s="1" t="s">
        <v>65</v>
      </c>
      <c r="C31" s="6">
        <v>-47854</v>
      </c>
      <c r="D31" s="6">
        <v>-83209</v>
      </c>
      <c r="E31" s="26">
        <f>'Balance Sheet'!D31+'Income Statement'!H25</f>
        <v>-115663.46921536127</v>
      </c>
      <c r="F31" s="26">
        <f>'Balance Sheet'!E31+'Income Statement'!I25</f>
        <v>-114729.39930335594</v>
      </c>
      <c r="G31" s="26">
        <f>'Balance Sheet'!F31+'Income Statement'!J25</f>
        <v>-93022.486189130941</v>
      </c>
      <c r="H31" s="26">
        <f>'Balance Sheet'!G31+'Income Statement'!K25</f>
        <v>-53304.480462103158</v>
      </c>
      <c r="L31" s="36"/>
      <c r="M31" s="36"/>
      <c r="N31" s="36"/>
      <c r="O31" s="36"/>
      <c r="P31" s="36"/>
    </row>
    <row r="32" spans="1:16" x14ac:dyDescent="0.25">
      <c r="A32" s="1"/>
      <c r="B32" s="15" t="s">
        <v>52</v>
      </c>
      <c r="C32" s="16">
        <f>SUM(C28:C31)</f>
        <v>195317</v>
      </c>
      <c r="D32" s="16">
        <f>SUM(D28:D31)</f>
        <v>410476</v>
      </c>
      <c r="E32" s="16">
        <f t="shared" ref="E32:H32" si="15">SUM(E28:E31)</f>
        <v>379839.53078463871</v>
      </c>
      <c r="F32" s="16">
        <f t="shared" si="15"/>
        <v>380773.60069664405</v>
      </c>
      <c r="G32" s="16">
        <f t="shared" si="15"/>
        <v>402480.51381086907</v>
      </c>
      <c r="H32" s="16">
        <f t="shared" si="15"/>
        <v>415189.51953789685</v>
      </c>
      <c r="M32" t="s">
        <v>70</v>
      </c>
    </row>
    <row r="33" spans="1:8" ht="16.5" thickBot="1" x14ac:dyDescent="0.3">
      <c r="A33" s="15" t="s">
        <v>53</v>
      </c>
      <c r="B33" s="1"/>
      <c r="C33" s="32">
        <f>C32+C25+C21</f>
        <v>243712</v>
      </c>
      <c r="D33" s="32">
        <f>D32+D25+D21</f>
        <v>490558</v>
      </c>
      <c r="E33" s="32">
        <f t="shared" ref="E33:H33" si="16">E32+E25+E21</f>
        <v>458477.01918463875</v>
      </c>
      <c r="F33" s="32">
        <f t="shared" si="16"/>
        <v>463209.95507856406</v>
      </c>
      <c r="G33" s="32">
        <f t="shared" si="16"/>
        <v>490548.55125516915</v>
      </c>
      <c r="H33" s="32">
        <f t="shared" si="16"/>
        <v>504772.50488614978</v>
      </c>
    </row>
    <row r="34" spans="1:8" ht="15.75" thickTop="1" x14ac:dyDescent="0.25">
      <c r="E34" s="14"/>
    </row>
    <row r="35" spans="1:8" x14ac:dyDescent="0.25">
      <c r="C35" s="14" t="str">
        <f>IF(C33=C15,"Balanced", "Not")</f>
        <v>Balanced</v>
      </c>
      <c r="D35" s="14" t="str">
        <f t="shared" ref="D35:H35" si="17">IF(D33=D15,"Balanced", "Not")</f>
        <v>Balanced</v>
      </c>
      <c r="E35" s="14" t="str">
        <f>IF(E33=E15,"Balanced", "NOT")</f>
        <v>NOT</v>
      </c>
      <c r="F35" s="14" t="str">
        <f t="shared" si="17"/>
        <v>Not</v>
      </c>
      <c r="G35" s="14" t="str">
        <f t="shared" si="17"/>
        <v>Not</v>
      </c>
      <c r="H35" s="14" t="str">
        <f t="shared" si="17"/>
        <v>Not</v>
      </c>
    </row>
  </sheetData>
  <mergeCells count="1">
    <mergeCell ref="L29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56EC-5932-439B-B6FD-406D1A02E7D3}">
  <dimension ref="B2:M40"/>
  <sheetViews>
    <sheetView topLeftCell="A17" workbookViewId="0">
      <selection activeCell="I39" sqref="I39:M40"/>
    </sheetView>
  </sheetViews>
  <sheetFormatPr defaultRowHeight="15" x14ac:dyDescent="0.25"/>
  <cols>
    <col min="2" max="2" width="57.140625" bestFit="1" customWidth="1"/>
    <col min="3" max="6" width="11.5703125" bestFit="1" customWidth="1"/>
    <col min="7" max="8" width="11.7109375" bestFit="1" customWidth="1"/>
    <col min="11" max="11" width="10.5703125" bestFit="1" customWidth="1"/>
    <col min="13" max="13" width="10.5703125" bestFit="1" customWidth="1"/>
  </cols>
  <sheetData>
    <row r="2" spans="2:10" x14ac:dyDescent="0.25">
      <c r="B2" t="s">
        <v>73</v>
      </c>
      <c r="I2" t="s">
        <v>66</v>
      </c>
      <c r="J2" s="9">
        <v>1.8800000000000001E-2</v>
      </c>
    </row>
    <row r="3" spans="2:10" x14ac:dyDescent="0.25">
      <c r="C3">
        <v>2015</v>
      </c>
      <c r="D3">
        <v>2016</v>
      </c>
      <c r="E3">
        <f>D3+1</f>
        <v>2017</v>
      </c>
      <c r="F3">
        <f t="shared" ref="F3:H3" si="0">E3+1</f>
        <v>2018</v>
      </c>
      <c r="G3">
        <f t="shared" si="0"/>
        <v>2019</v>
      </c>
      <c r="H3">
        <f t="shared" si="0"/>
        <v>2020</v>
      </c>
    </row>
    <row r="5" spans="2:10" x14ac:dyDescent="0.25">
      <c r="B5" t="s">
        <v>74</v>
      </c>
    </row>
    <row r="6" spans="2:10" x14ac:dyDescent="0.25">
      <c r="B6" t="s">
        <v>75</v>
      </c>
      <c r="C6" s="18">
        <v>-18790</v>
      </c>
      <c r="D6" s="18">
        <v>-35355</v>
      </c>
      <c r="E6" s="18">
        <f>'Income Statement'!H25</f>
        <v>-32454.469215361274</v>
      </c>
      <c r="F6" s="18">
        <f>'Income Statement'!I25</f>
        <v>934.06991200532809</v>
      </c>
      <c r="G6" s="18">
        <f>'Income Statement'!J25</f>
        <v>21706.913114224993</v>
      </c>
      <c r="H6" s="18">
        <f>'Income Statement'!K25</f>
        <v>39718.005727027783</v>
      </c>
    </row>
    <row r="7" spans="2:10" x14ac:dyDescent="0.25">
      <c r="B7" s="12" t="s">
        <v>76</v>
      </c>
    </row>
    <row r="8" spans="2:10" x14ac:dyDescent="0.25">
      <c r="B8" t="s">
        <v>77</v>
      </c>
      <c r="C8" s="18">
        <v>7236</v>
      </c>
      <c r="D8" s="18">
        <v>13967</v>
      </c>
      <c r="E8" s="18">
        <f>'Balance Sheet'!$L$11</f>
        <v>8785</v>
      </c>
      <c r="F8" s="18">
        <f>'Balance Sheet'!$L$11</f>
        <v>8785</v>
      </c>
      <c r="G8" s="18">
        <f>'Balance Sheet'!$L$11</f>
        <v>8785</v>
      </c>
      <c r="H8" s="18">
        <f>'Balance Sheet'!$L$11</f>
        <v>8785</v>
      </c>
    </row>
    <row r="9" spans="2:10" x14ac:dyDescent="0.25">
      <c r="B9" t="s">
        <v>78</v>
      </c>
      <c r="C9" s="18">
        <v>7805</v>
      </c>
      <c r="D9" s="18">
        <v>22896</v>
      </c>
      <c r="E9" s="18">
        <f>D9</f>
        <v>22896</v>
      </c>
      <c r="F9" s="18">
        <f t="shared" ref="F9:H9" si="1">E9</f>
        <v>22896</v>
      </c>
      <c r="G9" s="18">
        <f t="shared" si="1"/>
        <v>22896</v>
      </c>
      <c r="H9" s="18">
        <f t="shared" si="1"/>
        <v>22896</v>
      </c>
      <c r="I9" s="35" t="s">
        <v>103</v>
      </c>
    </row>
    <row r="10" spans="2:10" x14ac:dyDescent="0.25">
      <c r="B10" t="s">
        <v>79</v>
      </c>
      <c r="C10" s="18">
        <v>353</v>
      </c>
      <c r="D10" s="18">
        <v>202</v>
      </c>
      <c r="E10" s="18">
        <f>D10</f>
        <v>202</v>
      </c>
      <c r="F10" s="18">
        <f t="shared" ref="F10:H10" si="2">E10</f>
        <v>202</v>
      </c>
      <c r="G10" s="18">
        <f t="shared" si="2"/>
        <v>202</v>
      </c>
      <c r="H10" s="18">
        <f t="shared" si="2"/>
        <v>202</v>
      </c>
      <c r="I10" s="35" t="s">
        <v>103</v>
      </c>
    </row>
    <row r="11" spans="2:10" x14ac:dyDescent="0.25">
      <c r="B11" t="s">
        <v>80</v>
      </c>
      <c r="C11" s="18">
        <v>1828</v>
      </c>
      <c r="D11" s="18">
        <v>-969</v>
      </c>
      <c r="E11" s="18"/>
      <c r="F11" s="18"/>
      <c r="G11" s="18"/>
      <c r="H11" s="18"/>
    </row>
    <row r="12" spans="2:10" x14ac:dyDescent="0.25">
      <c r="B12" s="12" t="s">
        <v>81</v>
      </c>
      <c r="C12" s="18"/>
      <c r="D12" s="18"/>
      <c r="E12" s="18"/>
      <c r="F12" s="18"/>
      <c r="G12" s="18"/>
      <c r="H12" s="18"/>
    </row>
    <row r="13" spans="2:10" x14ac:dyDescent="0.25">
      <c r="B13" t="s">
        <v>31</v>
      </c>
      <c r="C13" s="18">
        <v>1176</v>
      </c>
      <c r="D13" s="18">
        <v>-2356</v>
      </c>
      <c r="E13" s="18">
        <f>('Balance Sheet'!D6-'Balance Sheet'!E6)</f>
        <v>1974</v>
      </c>
      <c r="F13" s="18">
        <f>('Balance Sheet'!E6-'Balance Sheet'!F6)</f>
        <v>-143.34999999999945</v>
      </c>
      <c r="G13" s="18">
        <f>('Balance Sheet'!F6-'Balance Sheet'!G6)</f>
        <v>-146.04497999999967</v>
      </c>
      <c r="H13" s="18">
        <f>('Balance Sheet'!G6-'Balance Sheet'!H6)</f>
        <v>-148.7906256239994</v>
      </c>
      <c r="I13" s="34" t="s">
        <v>102</v>
      </c>
    </row>
    <row r="14" spans="2:10" x14ac:dyDescent="0.25">
      <c r="B14" t="s">
        <v>32</v>
      </c>
      <c r="C14" s="18">
        <v>0</v>
      </c>
      <c r="D14" s="18">
        <v>-11896</v>
      </c>
      <c r="E14" s="18">
        <f>'Balance Sheet'!E7</f>
        <v>0</v>
      </c>
      <c r="F14" s="18">
        <f>-'Balance Sheet'!F7</f>
        <v>-17947</v>
      </c>
      <c r="G14" s="18">
        <f>-'Balance Sheet'!G7</f>
        <v>-31729</v>
      </c>
      <c r="H14" s="18">
        <f>-'Balance Sheet'!H7</f>
        <v>-13517</v>
      </c>
    </row>
    <row r="15" spans="2:10" x14ac:dyDescent="0.25">
      <c r="B15" t="s">
        <v>33</v>
      </c>
      <c r="C15" s="18">
        <v>-4708</v>
      </c>
      <c r="D15" s="18">
        <v>-2604</v>
      </c>
      <c r="E15" s="18">
        <f>'Balance Sheet'!D8-'Balance Sheet'!E8</f>
        <v>-168.99319999999898</v>
      </c>
      <c r="F15" s="18">
        <f>'Balance Sheet'!E8-'Balance Sheet'!F8</f>
        <v>-172.17027215999951</v>
      </c>
      <c r="G15" s="18">
        <f>'Balance Sheet'!F8-'Balance Sheet'!G8</f>
        <v>-175.40707327660675</v>
      </c>
      <c r="H15" s="18">
        <f>'Balance Sheet'!G8-'Balance Sheet'!H8</f>
        <v>-178.70472625420734</v>
      </c>
    </row>
    <row r="16" spans="2:10" x14ac:dyDescent="0.25">
      <c r="B16" t="s">
        <v>41</v>
      </c>
      <c r="C16" s="18">
        <v>11097</v>
      </c>
      <c r="D16" s="18">
        <v>19813</v>
      </c>
      <c r="E16" s="18">
        <f>D16*(1+$J$2)</f>
        <v>20185.484399999998</v>
      </c>
      <c r="F16" s="18">
        <f t="shared" ref="F16:H16" si="3">E16*(1+$J$2)</f>
        <v>20564.971506719998</v>
      </c>
      <c r="G16" s="18">
        <f t="shared" si="3"/>
        <v>20951.592971046332</v>
      </c>
      <c r="H16" s="18">
        <f t="shared" si="3"/>
        <v>21345.482918902002</v>
      </c>
    </row>
    <row r="17" spans="2:13" x14ac:dyDescent="0.25">
      <c r="B17" t="s">
        <v>45</v>
      </c>
      <c r="C17" s="18">
        <v>6218</v>
      </c>
      <c r="D17" s="18">
        <v>7699</v>
      </c>
      <c r="E17" s="18">
        <f>D17*(1+$J$2)</f>
        <v>7843.7411999999995</v>
      </c>
      <c r="F17" s="18">
        <f t="shared" ref="F17:H17" si="4">E17*(1+$J$2)</f>
        <v>7991.2035345599988</v>
      </c>
      <c r="G17" s="18">
        <f t="shared" si="4"/>
        <v>8141.4381610097262</v>
      </c>
      <c r="H17" s="18">
        <f t="shared" si="4"/>
        <v>8294.4971984367075</v>
      </c>
    </row>
    <row r="18" spans="2:13" x14ac:dyDescent="0.25">
      <c r="B18" t="s">
        <v>46</v>
      </c>
      <c r="C18" s="18">
        <v>3541</v>
      </c>
      <c r="D18" s="18">
        <v>2620</v>
      </c>
      <c r="E18" s="18">
        <f>'Balance Sheet'!E24-'Balance Sheet'!D24</f>
        <v>-2184</v>
      </c>
      <c r="F18" s="18">
        <f>'Balance Sheet'!F24-'Balance Sheet'!E24</f>
        <v>2093</v>
      </c>
      <c r="G18" s="18">
        <f>'Balance Sheet'!G24-'Balance Sheet'!F24</f>
        <v>4064</v>
      </c>
      <c r="H18" s="18">
        <f>'Balance Sheet'!H24-'Balance Sheet'!G24</f>
        <v>122</v>
      </c>
      <c r="M18" s="25"/>
    </row>
    <row r="19" spans="2:13" x14ac:dyDescent="0.25">
      <c r="B19" t="s">
        <v>82</v>
      </c>
      <c r="C19" s="18">
        <f>SUM(C13:C18)</f>
        <v>17324</v>
      </c>
      <c r="D19" s="18">
        <f t="shared" ref="D19:H19" si="5">SUM(D13:D18)</f>
        <v>13276</v>
      </c>
      <c r="E19" s="18">
        <f t="shared" si="5"/>
        <v>27650.232399999997</v>
      </c>
      <c r="F19" s="18">
        <f t="shared" si="5"/>
        <v>12386.654769119996</v>
      </c>
      <c r="G19" s="18">
        <f t="shared" si="5"/>
        <v>1106.579078779454</v>
      </c>
      <c r="H19" s="18">
        <f t="shared" si="5"/>
        <v>15917.484765460504</v>
      </c>
      <c r="M19" s="26"/>
    </row>
    <row r="20" spans="2:13" x14ac:dyDescent="0.25">
      <c r="B20" s="12" t="s">
        <v>83</v>
      </c>
      <c r="C20" s="18"/>
      <c r="D20" s="18"/>
      <c r="E20" s="18"/>
      <c r="F20" s="18"/>
      <c r="G20" s="18"/>
      <c r="H20" s="18"/>
    </row>
    <row r="21" spans="2:13" x14ac:dyDescent="0.25">
      <c r="B21" t="s">
        <v>84</v>
      </c>
      <c r="C21" s="18">
        <v>-111154</v>
      </c>
      <c r="D21" s="18">
        <v>-369208</v>
      </c>
      <c r="E21" s="18">
        <f>D21</f>
        <v>-369208</v>
      </c>
      <c r="F21" s="18">
        <f>-'Balance Sheet'!F5</f>
        <v>-302710.05</v>
      </c>
      <c r="G21" s="18">
        <f>-'Balance Sheet'!G5</f>
        <v>-302710.05</v>
      </c>
      <c r="H21" s="18">
        <f>-'Balance Sheet'!H5</f>
        <v>-302710.05</v>
      </c>
    </row>
    <row r="22" spans="2:13" x14ac:dyDescent="0.25">
      <c r="B22" t="s">
        <v>85</v>
      </c>
      <c r="C22" s="18">
        <v>48350</v>
      </c>
      <c r="D22" s="18">
        <v>139872</v>
      </c>
      <c r="E22" s="18">
        <f>-E21*0.407</f>
        <v>150267.65599999999</v>
      </c>
      <c r="F22" s="18">
        <f t="shared" ref="F22:H22" si="6">-F21*0.407</f>
        <v>123202.99034999999</v>
      </c>
      <c r="G22" s="18">
        <f t="shared" si="6"/>
        <v>123202.99034999999</v>
      </c>
      <c r="H22" s="18">
        <f t="shared" si="6"/>
        <v>123202.99034999999</v>
      </c>
      <c r="K22" s="26"/>
    </row>
    <row r="23" spans="2:13" x14ac:dyDescent="0.25">
      <c r="B23" t="s">
        <v>86</v>
      </c>
      <c r="C23" s="18">
        <v>-16525</v>
      </c>
      <c r="D23" s="18">
        <v>-23773</v>
      </c>
      <c r="E23" s="18">
        <v>0</v>
      </c>
      <c r="F23" s="18">
        <v>0</v>
      </c>
      <c r="G23" s="18">
        <v>0</v>
      </c>
      <c r="H23" s="18">
        <v>0</v>
      </c>
    </row>
    <row r="24" spans="2:13" x14ac:dyDescent="0.25">
      <c r="B24" t="s">
        <v>87</v>
      </c>
      <c r="C24" s="18">
        <v>-4511</v>
      </c>
      <c r="D24" s="18">
        <v>-2463</v>
      </c>
      <c r="E24" s="18">
        <v>0</v>
      </c>
      <c r="F24" s="18">
        <v>0</v>
      </c>
      <c r="G24" s="18">
        <v>0</v>
      </c>
      <c r="H24" s="18">
        <v>0</v>
      </c>
    </row>
    <row r="25" spans="2:13" x14ac:dyDescent="0.25">
      <c r="B25" t="s">
        <v>88</v>
      </c>
      <c r="C25" s="18"/>
      <c r="D25" s="18">
        <v>-14114</v>
      </c>
      <c r="E25" s="18">
        <v>0</v>
      </c>
      <c r="F25" s="18">
        <v>0</v>
      </c>
      <c r="G25" s="18">
        <v>0</v>
      </c>
      <c r="H25" s="18">
        <v>0</v>
      </c>
    </row>
    <row r="26" spans="2:13" x14ac:dyDescent="0.25">
      <c r="B26" t="s">
        <v>89</v>
      </c>
      <c r="C26" s="18">
        <f>SUM(C21:C25)</f>
        <v>-83840</v>
      </c>
      <c r="D26" s="18">
        <f>SUM(D21:D25)</f>
        <v>-269686</v>
      </c>
      <c r="E26" s="18">
        <f t="shared" ref="E26:H26" si="7">SUM(E21:E25)</f>
        <v>-218940.34400000001</v>
      </c>
      <c r="F26" s="18">
        <f t="shared" si="7"/>
        <v>-179507.05965000001</v>
      </c>
      <c r="G26" s="18">
        <f t="shared" si="7"/>
        <v>-179507.05965000001</v>
      </c>
      <c r="H26" s="18">
        <f t="shared" si="7"/>
        <v>-179507.05965000001</v>
      </c>
    </row>
    <row r="27" spans="2:13" x14ac:dyDescent="0.25">
      <c r="B27" s="12" t="s">
        <v>90</v>
      </c>
      <c r="C27" s="18"/>
      <c r="D27" s="18"/>
      <c r="E27" s="18"/>
      <c r="F27" s="18"/>
      <c r="G27" s="18"/>
      <c r="H27" s="18"/>
    </row>
    <row r="28" spans="2:13" x14ac:dyDescent="0.25">
      <c r="B28" t="s">
        <v>91</v>
      </c>
      <c r="C28" s="18">
        <v>136251</v>
      </c>
      <c r="D28" s="18">
        <v>0</v>
      </c>
      <c r="E28" s="18">
        <f>D28</f>
        <v>0</v>
      </c>
      <c r="F28" s="18">
        <f t="shared" ref="F28:H28" si="8">E28</f>
        <v>0</v>
      </c>
      <c r="G28" s="18">
        <f t="shared" si="8"/>
        <v>0</v>
      </c>
      <c r="H28" s="18">
        <f t="shared" si="8"/>
        <v>0</v>
      </c>
    </row>
    <row r="29" spans="2:13" x14ac:dyDescent="0.25">
      <c r="B29" t="s">
        <v>92</v>
      </c>
      <c r="C29" s="18">
        <v>1604</v>
      </c>
      <c r="D29" s="18">
        <v>4162</v>
      </c>
      <c r="E29" s="18">
        <f>D29*1.1</f>
        <v>4578.2000000000007</v>
      </c>
      <c r="F29" s="18">
        <f>E29*0.99</f>
        <v>4532.4180000000006</v>
      </c>
      <c r="G29" s="18">
        <f>F29*0.8</f>
        <v>3625.9344000000006</v>
      </c>
      <c r="H29" s="18">
        <f>G29*1.4</f>
        <v>5076.3081600000005</v>
      </c>
    </row>
    <row r="30" spans="2:13" x14ac:dyDescent="0.25">
      <c r="B30" t="s">
        <v>93</v>
      </c>
      <c r="C30" s="18"/>
      <c r="D30" s="18">
        <v>224423</v>
      </c>
      <c r="E30" s="18">
        <v>0</v>
      </c>
      <c r="F30" s="18">
        <v>0</v>
      </c>
      <c r="G30" s="18">
        <v>0</v>
      </c>
      <c r="H30" s="18">
        <v>0</v>
      </c>
    </row>
    <row r="31" spans="2:13" x14ac:dyDescent="0.25">
      <c r="B31" t="s">
        <v>94</v>
      </c>
      <c r="C31" s="18">
        <f>SUM(C28:C30)</f>
        <v>137855</v>
      </c>
      <c r="D31" s="18">
        <f>SUM(D28:D30)</f>
        <v>228585</v>
      </c>
      <c r="E31" s="18">
        <f t="shared" ref="E31:H31" si="9">SUM(E28:E30)</f>
        <v>4578.2000000000007</v>
      </c>
      <c r="F31" s="18">
        <f t="shared" si="9"/>
        <v>4532.4180000000006</v>
      </c>
      <c r="G31" s="18">
        <f t="shared" si="9"/>
        <v>3625.9344000000006</v>
      </c>
      <c r="H31" s="18">
        <f t="shared" si="9"/>
        <v>5076.3081600000005</v>
      </c>
    </row>
    <row r="32" spans="2:13" x14ac:dyDescent="0.25">
      <c r="B32" t="s">
        <v>95</v>
      </c>
      <c r="C32" s="18">
        <v>-1654</v>
      </c>
      <c r="D32" s="18">
        <v>1027</v>
      </c>
      <c r="E32" s="18">
        <f>-0.02*'Balance Sheet'!E4</f>
        <v>-1516.6488000000002</v>
      </c>
      <c r="F32" s="18">
        <f>-0.02*'Balance Sheet'!F4</f>
        <v>-1563.8431956801066</v>
      </c>
      <c r="G32" s="18">
        <f>-0.03*'Balance Sheet'!G4</f>
        <v>-3041.0725650650884</v>
      </c>
      <c r="H32" s="18">
        <f>-0.04*'Balance Sheet'!H4</f>
        <v>-5719.7132014655281</v>
      </c>
    </row>
    <row r="33" spans="2:13" x14ac:dyDescent="0.25">
      <c r="B33" t="s">
        <v>96</v>
      </c>
      <c r="C33" s="18">
        <v>68117</v>
      </c>
      <c r="D33" s="18">
        <f>D35-D34</f>
        <v>-26057</v>
      </c>
      <c r="E33" s="18">
        <f>E35-E34</f>
        <v>-8180.5599999999977</v>
      </c>
      <c r="F33" s="18">
        <f t="shared" ref="F33:H33" si="10">F35-F34</f>
        <v>2359.7197840053268</v>
      </c>
      <c r="G33" s="18">
        <f t="shared" si="10"/>
        <v>23176.92571816429</v>
      </c>
      <c r="H33" s="18">
        <f t="shared" si="10"/>
        <v>41623.744534468569</v>
      </c>
    </row>
    <row r="34" spans="2:13" x14ac:dyDescent="0.25">
      <c r="B34" t="s">
        <v>97</v>
      </c>
      <c r="C34" s="18">
        <v>41953</v>
      </c>
      <c r="D34" s="18">
        <v>110070</v>
      </c>
      <c r="E34" s="18">
        <f>D35</f>
        <v>84013</v>
      </c>
      <c r="F34" s="18">
        <f t="shared" ref="F34:H34" si="11">E35</f>
        <v>75832.44</v>
      </c>
      <c r="G34" s="18">
        <f t="shared" si="11"/>
        <v>78192.159784005329</v>
      </c>
      <c r="H34" s="18">
        <f t="shared" si="11"/>
        <v>101369.08550216962</v>
      </c>
    </row>
    <row r="35" spans="2:13" x14ac:dyDescent="0.25">
      <c r="B35" t="s">
        <v>98</v>
      </c>
      <c r="C35" s="18">
        <v>110070</v>
      </c>
      <c r="D35" s="18">
        <v>84013</v>
      </c>
      <c r="E35" s="18">
        <f>'Balance Sheet'!E4</f>
        <v>75832.44</v>
      </c>
      <c r="F35" s="18">
        <f>'Balance Sheet'!F4</f>
        <v>78192.159784005329</v>
      </c>
      <c r="G35" s="18">
        <f>'Balance Sheet'!G4</f>
        <v>101369.08550216962</v>
      </c>
      <c r="H35" s="18">
        <f>'Balance Sheet'!H4</f>
        <v>142992.83003663819</v>
      </c>
    </row>
    <row r="36" spans="2:13" x14ac:dyDescent="0.25">
      <c r="C36" s="18"/>
      <c r="D36" s="18"/>
      <c r="E36" s="18"/>
      <c r="F36" s="18"/>
      <c r="G36" s="18"/>
      <c r="H36" s="18"/>
    </row>
    <row r="37" spans="2:13" x14ac:dyDescent="0.25">
      <c r="B37" t="s">
        <v>99</v>
      </c>
      <c r="C37" s="18"/>
      <c r="D37" s="18"/>
      <c r="E37" s="18"/>
      <c r="F37" s="18"/>
      <c r="G37" s="18"/>
      <c r="H37" s="18"/>
    </row>
    <row r="38" spans="2:13" x14ac:dyDescent="0.25">
      <c r="B38" t="s">
        <v>100</v>
      </c>
      <c r="C38" s="18">
        <v>1295</v>
      </c>
      <c r="D38" s="18">
        <v>587</v>
      </c>
      <c r="E38" s="18">
        <v>0</v>
      </c>
      <c r="F38" s="18">
        <v>0</v>
      </c>
      <c r="G38" s="18">
        <v>0</v>
      </c>
      <c r="H38" s="18">
        <v>0</v>
      </c>
    </row>
    <row r="39" spans="2:13" x14ac:dyDescent="0.25">
      <c r="B39" t="s">
        <v>101</v>
      </c>
      <c r="C39" s="18">
        <v>362</v>
      </c>
      <c r="D39" s="18">
        <v>649</v>
      </c>
      <c r="E39" s="18">
        <v>0</v>
      </c>
      <c r="F39" s="18">
        <f>F6*9%</f>
        <v>84.066292080479528</v>
      </c>
      <c r="G39" s="18">
        <f t="shared" ref="G39:H39" si="12">G6*9%</f>
        <v>1953.6221802802493</v>
      </c>
      <c r="H39" s="18">
        <f t="shared" si="12"/>
        <v>3574.6205154325003</v>
      </c>
      <c r="I39" s="36" t="s">
        <v>104</v>
      </c>
      <c r="J39" s="36"/>
      <c r="K39" s="36"/>
      <c r="L39" s="36"/>
      <c r="M39" s="36"/>
    </row>
    <row r="40" spans="2:13" x14ac:dyDescent="0.25">
      <c r="I40" s="36"/>
      <c r="J40" s="36"/>
      <c r="K40" s="36"/>
      <c r="L40" s="36"/>
      <c r="M40" s="36"/>
    </row>
  </sheetData>
  <mergeCells count="1">
    <mergeCell ref="I39:M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core noah</cp:lastModifiedBy>
  <dcterms:created xsi:type="dcterms:W3CDTF">2017-12-06T00:15:02Z</dcterms:created>
  <dcterms:modified xsi:type="dcterms:W3CDTF">2024-04-26T07:11:08Z</dcterms:modified>
</cp:coreProperties>
</file>