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lixipu/Dropbox/The Epsilon Group/Project Beehive - HXL/Excel/Model/"/>
    </mc:Choice>
  </mc:AlternateContent>
  <xr:revisionPtr revIDLastSave="0" documentId="13_ncr:1_{86A5BCCC-3675-FF4F-8005-1158F017C34E}" xr6:coauthVersionLast="45" xr6:coauthVersionMax="45" xr10:uidLastSave="{00000000-0000-0000-0000-000000000000}"/>
  <bookViews>
    <workbookView xWindow="-19640" yWindow="-26420" windowWidth="32000" windowHeight="22600" xr2:uid="{A9ACCAE5-6B83-43FA-8CF9-8245090D6316}"/>
  </bookViews>
  <sheets>
    <sheet name="Strawman" sheetId="1" r:id="rId1"/>
    <sheet name="Segment Financials" sheetId="13" r:id="rId2"/>
    <sheet name="Financials &gt;&gt;" sheetId="2" r:id="rId3"/>
    <sheet name="Key Stats" sheetId="4" r:id="rId4"/>
    <sheet name="Income Statement" sheetId="5" r:id="rId5"/>
    <sheet name="Balance Sheet" sheetId="6" r:id="rId6"/>
    <sheet name="Cash Flow" sheetId="7" r:id="rId7"/>
    <sheet name="COMP" sheetId="3" r:id="rId8"/>
    <sheet name="Toray Financials &gt;&gt;" sheetId="8" r:id="rId9"/>
    <sheet name="Key Stats (2)" sheetId="9" r:id="rId10"/>
    <sheet name="Income Statement (2)" sheetId="10" r:id="rId11"/>
    <sheet name="Balance Sheet (2)" sheetId="11" r:id="rId12"/>
    <sheet name="Cash Flow (2)" sheetId="12" r:id="rId13"/>
  </sheets>
  <definedNames>
    <definedName name="CIRC">Strawman!$D$13</definedName>
    <definedName name="_xlnm.Print_Area" localSheetId="0">Strawman!$B$18:$V$115</definedName>
    <definedName name="_xlnm.Print_Titles" localSheetId="5">'Balance Sheet'!$1:$3</definedName>
    <definedName name="_xlnm.Print_Titles" localSheetId="11">'Balance Sheet (2)'!$1:$3</definedName>
    <definedName name="_xlnm.Print_Titles" localSheetId="6">'Cash Flow'!$1:$3</definedName>
    <definedName name="_xlnm.Print_Titles" localSheetId="12">'Cash Flow (2)'!$1:$3</definedName>
    <definedName name="_xlnm.Print_Titles" localSheetId="4">'Income Statement'!$1:$3</definedName>
    <definedName name="_xlnm.Print_Titles" localSheetId="10">'Income Statement (2)'!$1:$3</definedName>
    <definedName name="_xlnm.Print_Titles" localSheetId="3">'Key Stats'!$1:$3</definedName>
    <definedName name="_xlnm.Print_Titles" localSheetId="9">'Key Stats (2)'!$1:$3</definedName>
  </definedNam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4" i="4" l="1"/>
  <c r="E34" i="4"/>
  <c r="D34" i="4"/>
  <c r="C34" i="4"/>
  <c r="B34" i="4"/>
  <c r="C30" i="4"/>
  <c r="D30" i="4"/>
  <c r="E30" i="4"/>
  <c r="F30" i="4"/>
  <c r="G30" i="4"/>
  <c r="B30" i="4"/>
  <c r="G34" i="4"/>
  <c r="C32" i="4"/>
  <c r="C33" i="4" s="1"/>
  <c r="D32" i="4"/>
  <c r="D33" i="4" s="1"/>
  <c r="E32" i="4"/>
  <c r="E33" i="4" s="1"/>
  <c r="F32" i="4"/>
  <c r="F33" i="4" s="1"/>
  <c r="G32" i="4"/>
  <c r="G33" i="4" s="1"/>
  <c r="B32" i="4"/>
  <c r="B33" i="4" s="1"/>
  <c r="C26" i="4"/>
  <c r="D26" i="4"/>
  <c r="E26" i="4"/>
  <c r="F26" i="4"/>
  <c r="G26" i="4"/>
  <c r="B26" i="4"/>
  <c r="C25" i="4"/>
  <c r="C27" i="4" s="1"/>
  <c r="D25" i="4"/>
  <c r="E25" i="4"/>
  <c r="F25" i="4"/>
  <c r="G25" i="4"/>
  <c r="G27" i="4" s="1"/>
  <c r="B25" i="4"/>
  <c r="E57" i="1"/>
  <c r="F57" i="1"/>
  <c r="G57" i="1"/>
  <c r="B27" i="4" l="1"/>
  <c r="D27" i="4"/>
  <c r="C29" i="4"/>
  <c r="B29" i="4"/>
  <c r="G29" i="4"/>
  <c r="E27" i="4"/>
  <c r="F27" i="4"/>
  <c r="AB82" i="1"/>
  <c r="Y88" i="1"/>
  <c r="Y89" i="1"/>
  <c r="T70" i="1"/>
  <c r="U70" i="1" s="1"/>
  <c r="V70" i="1" s="1"/>
  <c r="S70" i="1"/>
  <c r="S74" i="1"/>
  <c r="T74" i="1"/>
  <c r="U74" i="1"/>
  <c r="V74" i="1"/>
  <c r="R74" i="1"/>
  <c r="G111" i="1"/>
  <c r="H109" i="1" s="1"/>
  <c r="G68" i="1"/>
  <c r="H66" i="1" s="1"/>
  <c r="F29" i="1"/>
  <c r="AB88" i="1" s="1"/>
  <c r="Q6" i="1"/>
  <c r="P31" i="1"/>
  <c r="L27" i="1" s="1"/>
  <c r="F24" i="1"/>
  <c r="P30" i="1" s="1"/>
  <c r="AB61" i="1"/>
  <c r="AC61" i="1" s="1"/>
  <c r="AD61" i="1" s="1"/>
  <c r="AE61" i="1" s="1"/>
  <c r="T25" i="1"/>
  <c r="T28" i="1" s="1"/>
  <c r="T26" i="1"/>
  <c r="U26" i="1" s="1"/>
  <c r="T27" i="1"/>
  <c r="U27" i="1" s="1"/>
  <c r="P27" i="1"/>
  <c r="R28" i="1"/>
  <c r="D29" i="4" l="1"/>
  <c r="F29" i="4"/>
  <c r="E29" i="4"/>
  <c r="AB81" i="1"/>
  <c r="U25" i="1"/>
  <c r="U28" i="1" s="1"/>
  <c r="P28" i="1" s="1"/>
  <c r="P29" i="1" s="1"/>
  <c r="L24" i="1" l="1"/>
  <c r="P32" i="1"/>
  <c r="L26" i="1" s="1"/>
  <c r="M48" i="6" l="1"/>
  <c r="N48" i="6"/>
  <c r="O48" i="6"/>
  <c r="P48" i="6"/>
  <c r="Q48" i="6"/>
  <c r="L48" i="6"/>
  <c r="C34" i="6"/>
  <c r="D34" i="6"/>
  <c r="E34" i="6"/>
  <c r="F34" i="6"/>
  <c r="G34" i="6"/>
  <c r="B34" i="6"/>
  <c r="C29" i="11"/>
  <c r="C30" i="11" s="1"/>
  <c r="D29" i="11"/>
  <c r="D30" i="11" s="1"/>
  <c r="E29" i="11"/>
  <c r="E30" i="11" s="1"/>
  <c r="F29" i="11"/>
  <c r="F30" i="11" s="1"/>
  <c r="G29" i="11"/>
  <c r="G30" i="11" s="1"/>
  <c r="B29" i="11"/>
  <c r="B30" i="11" s="1"/>
  <c r="C33" i="6"/>
  <c r="D33" i="6"/>
  <c r="E33" i="6"/>
  <c r="F33" i="6"/>
  <c r="G33" i="6"/>
  <c r="B33" i="6"/>
  <c r="D12" i="13"/>
  <c r="C12" i="13"/>
  <c r="D11" i="13"/>
  <c r="C11" i="13"/>
  <c r="D10" i="13"/>
  <c r="C10" i="13"/>
  <c r="D9" i="13"/>
  <c r="C9" i="13"/>
  <c r="C21" i="13"/>
  <c r="D19" i="13"/>
  <c r="D21" i="13" s="1"/>
  <c r="C19" i="13"/>
  <c r="D7" i="13"/>
  <c r="C7" i="13"/>
  <c r="C27" i="5"/>
  <c r="D27" i="5"/>
  <c r="E27" i="5"/>
  <c r="F27" i="5"/>
  <c r="G27" i="5"/>
  <c r="B27" i="5"/>
  <c r="C28" i="10"/>
  <c r="D28" i="10"/>
  <c r="E28" i="10"/>
  <c r="F28" i="10"/>
  <c r="G28" i="10"/>
  <c r="B28" i="10"/>
  <c r="C25" i="5"/>
  <c r="D25" i="5"/>
  <c r="E25" i="5"/>
  <c r="F25" i="5"/>
  <c r="G25" i="5"/>
  <c r="B25" i="5"/>
  <c r="C25" i="10"/>
  <c r="D25" i="10"/>
  <c r="E25" i="10"/>
  <c r="F25" i="10"/>
  <c r="G25" i="10"/>
  <c r="B25" i="10"/>
  <c r="C13" i="13" l="1"/>
  <c r="C14" i="13" s="1"/>
  <c r="D13" i="13"/>
  <c r="D14" i="13" s="1"/>
  <c r="M64" i="6"/>
  <c r="N64" i="6"/>
  <c r="O64" i="6"/>
  <c r="P64" i="6"/>
  <c r="Q64" i="6"/>
  <c r="L64" i="6"/>
  <c r="M58" i="6"/>
  <c r="N58" i="6"/>
  <c r="O58" i="6"/>
  <c r="P58" i="6"/>
  <c r="Q58" i="6"/>
  <c r="M59" i="6"/>
  <c r="N59" i="6"/>
  <c r="O59" i="6"/>
  <c r="P59" i="6"/>
  <c r="Q59" i="6"/>
  <c r="M60" i="6"/>
  <c r="N60" i="6"/>
  <c r="O60" i="6"/>
  <c r="P60" i="6"/>
  <c r="Q60" i="6"/>
  <c r="Q61" i="6"/>
  <c r="Q66" i="6" s="1"/>
  <c r="L60" i="6"/>
  <c r="L59" i="6"/>
  <c r="L58" i="6"/>
  <c r="M57" i="6"/>
  <c r="N57" i="6" s="1"/>
  <c r="O57" i="6" s="1"/>
  <c r="P57" i="6" s="1"/>
  <c r="Q57" i="6" s="1"/>
  <c r="C55" i="10"/>
  <c r="D55" i="10"/>
  <c r="E55" i="10"/>
  <c r="F55" i="10"/>
  <c r="G55" i="10"/>
  <c r="B55" i="10"/>
  <c r="M51" i="6"/>
  <c r="N51" i="6"/>
  <c r="O51" i="6"/>
  <c r="P51" i="6"/>
  <c r="Q51" i="6"/>
  <c r="L51" i="6"/>
  <c r="M44" i="6"/>
  <c r="N44" i="6"/>
  <c r="O44" i="6"/>
  <c r="P44" i="6"/>
  <c r="P47" i="6" s="1"/>
  <c r="P49" i="6" s="1"/>
  <c r="Q44" i="6"/>
  <c r="M45" i="6"/>
  <c r="N45" i="6"/>
  <c r="O45" i="6"/>
  <c r="O47" i="6" s="1"/>
  <c r="O49" i="6" s="1"/>
  <c r="P45" i="6"/>
  <c r="Q45" i="6"/>
  <c r="Q47" i="6" s="1"/>
  <c r="Q49" i="6" s="1"/>
  <c r="M46" i="6"/>
  <c r="N46" i="6"/>
  <c r="O46" i="6"/>
  <c r="P46" i="6"/>
  <c r="Q46" i="6"/>
  <c r="M47" i="6"/>
  <c r="L46" i="6"/>
  <c r="L45" i="6"/>
  <c r="L44" i="6"/>
  <c r="L47" i="6" s="1"/>
  <c r="L49" i="6" s="1"/>
  <c r="M43" i="6"/>
  <c r="N43" i="6" s="1"/>
  <c r="O43" i="6" s="1"/>
  <c r="P43" i="6" s="1"/>
  <c r="Q43" i="6" s="1"/>
  <c r="D70" i="4"/>
  <c r="D68" i="4"/>
  <c r="D67" i="4"/>
  <c r="D66" i="4"/>
  <c r="D69" i="4" s="1"/>
  <c r="D71" i="4" s="1"/>
  <c r="F43" i="1"/>
  <c r="G43" i="1"/>
  <c r="D5" i="1" s="1"/>
  <c r="E43" i="1"/>
  <c r="N52" i="6" l="1"/>
  <c r="N47" i="6"/>
  <c r="N49" i="6" s="1"/>
  <c r="M52" i="6"/>
  <c r="M49" i="6"/>
  <c r="G25" i="1"/>
  <c r="G24" i="1"/>
  <c r="G29" i="1"/>
  <c r="P33" i="1"/>
  <c r="L61" i="6"/>
  <c r="L66" i="6" s="1"/>
  <c r="N61" i="6"/>
  <c r="N66" i="6" s="1"/>
  <c r="O61" i="6"/>
  <c r="O66" i="6" s="1"/>
  <c r="M61" i="6"/>
  <c r="M66" i="6" s="1"/>
  <c r="P61" i="6"/>
  <c r="P66" i="6" s="1"/>
  <c r="O52" i="6"/>
  <c r="L52" i="6"/>
  <c r="Q52" i="6"/>
  <c r="P52" i="6"/>
  <c r="N44" i="1"/>
  <c r="AE43" i="1" l="1"/>
  <c r="AD43" i="1"/>
  <c r="AC43" i="1"/>
  <c r="AB43" i="1"/>
  <c r="AA43" i="1"/>
  <c r="Y43" i="1"/>
  <c r="AE36" i="1"/>
  <c r="AD36" i="1"/>
  <c r="AC36" i="1"/>
  <c r="AB36" i="1"/>
  <c r="AA36" i="1"/>
  <c r="Y36" i="1"/>
  <c r="AE29" i="1"/>
  <c r="L40" i="1" s="1"/>
  <c r="AD29" i="1"/>
  <c r="K40" i="1" s="1"/>
  <c r="AC29" i="1"/>
  <c r="J40" i="1" s="1"/>
  <c r="AB29" i="1"/>
  <c r="I40" i="1" s="1"/>
  <c r="AA29" i="1"/>
  <c r="H40" i="1" s="1"/>
  <c r="Y29" i="1"/>
  <c r="AC10" i="1"/>
  <c r="AC9" i="1"/>
  <c r="AC7" i="1"/>
  <c r="F54" i="1"/>
  <c r="G54" i="1"/>
  <c r="E54" i="1"/>
  <c r="F48" i="1"/>
  <c r="G48" i="1"/>
  <c r="E48" i="1"/>
  <c r="E51" i="1" s="1"/>
  <c r="F39" i="1"/>
  <c r="G39" i="1"/>
  <c r="G44" i="1" s="1"/>
  <c r="E39" i="1"/>
  <c r="E44" i="1" s="1"/>
  <c r="H37" i="1"/>
  <c r="F11" i="3"/>
  <c r="F9" i="3"/>
  <c r="F13" i="3"/>
  <c r="F10" i="3"/>
  <c r="R71" i="1" l="1"/>
  <c r="R58" i="1"/>
  <c r="AA35" i="1"/>
  <c r="H63" i="1"/>
  <c r="F58" i="1"/>
  <c r="F55" i="1"/>
  <c r="E55" i="1"/>
  <c r="E52" i="1"/>
  <c r="G55" i="1"/>
  <c r="G49" i="1"/>
  <c r="G51" i="1"/>
  <c r="F49" i="1"/>
  <c r="F51" i="1"/>
  <c r="F52" i="1" s="1"/>
  <c r="H39" i="1"/>
  <c r="I39" i="1" s="1"/>
  <c r="J39" i="1" s="1"/>
  <c r="K39" i="1" s="1"/>
  <c r="L39" i="1" s="1"/>
  <c r="F44" i="1"/>
  <c r="AA28" i="1"/>
  <c r="G58" i="1"/>
  <c r="H58" i="1" s="1"/>
  <c r="I58" i="1" s="1"/>
  <c r="J58" i="1" s="1"/>
  <c r="K58" i="1" s="1"/>
  <c r="L58" i="1" s="1"/>
  <c r="J44" i="1"/>
  <c r="K44" i="1"/>
  <c r="L44" i="1"/>
  <c r="I44" i="1"/>
  <c r="H44" i="1"/>
  <c r="E58" i="1"/>
  <c r="G40" i="1"/>
  <c r="E49" i="1"/>
  <c r="I37" i="1"/>
  <c r="R38" i="1"/>
  <c r="T30" i="1" s="1"/>
  <c r="F40" i="1"/>
  <c r="AA42" i="1"/>
  <c r="F46" i="1"/>
  <c r="G46" i="1"/>
  <c r="G37" i="1"/>
  <c r="S71" i="1" l="1"/>
  <c r="S58" i="1"/>
  <c r="F37" i="1"/>
  <c r="E37" i="1" s="1"/>
  <c r="G63" i="1"/>
  <c r="AB42" i="1"/>
  <c r="I63" i="1"/>
  <c r="AB28" i="1"/>
  <c r="AB35" i="1"/>
  <c r="J37" i="1"/>
  <c r="G52" i="1"/>
  <c r="S38" i="1"/>
  <c r="U30" i="1" s="1"/>
  <c r="H43" i="1"/>
  <c r="R73" i="1" s="1"/>
  <c r="R75" i="1" s="1"/>
  <c r="H48" i="1"/>
  <c r="H57" i="1"/>
  <c r="R42" i="1" s="1"/>
  <c r="I43" i="1"/>
  <c r="S73" i="1" s="1"/>
  <c r="S75" i="1" s="1"/>
  <c r="H54" i="1"/>
  <c r="R41" i="1" s="1"/>
  <c r="T38" i="1"/>
  <c r="V30" i="1" s="1"/>
  <c r="T58" i="1" l="1"/>
  <c r="T71" i="1"/>
  <c r="R76" i="1"/>
  <c r="AC42" i="1"/>
  <c r="J63" i="1"/>
  <c r="U31" i="1"/>
  <c r="T31" i="1"/>
  <c r="K37" i="1"/>
  <c r="AC28" i="1"/>
  <c r="AC35" i="1"/>
  <c r="H51" i="1"/>
  <c r="I54" i="1"/>
  <c r="S41" i="1" s="1"/>
  <c r="I48" i="1"/>
  <c r="I51" i="1" s="1"/>
  <c r="J43" i="1"/>
  <c r="T73" i="1" s="1"/>
  <c r="T75" i="1" s="1"/>
  <c r="R40" i="1"/>
  <c r="I57" i="1"/>
  <c r="S42" i="1" s="1"/>
  <c r="H46" i="1"/>
  <c r="U71" i="1" l="1"/>
  <c r="U58" i="1"/>
  <c r="S76" i="1"/>
  <c r="I52" i="1"/>
  <c r="H52" i="1"/>
  <c r="AD28" i="1"/>
  <c r="K63" i="1"/>
  <c r="L37" i="1"/>
  <c r="AD35" i="1"/>
  <c r="AD42" i="1"/>
  <c r="U38" i="1"/>
  <c r="V31" i="1"/>
  <c r="K43" i="1"/>
  <c r="U73" i="1" s="1"/>
  <c r="U75" i="1" s="1"/>
  <c r="J54" i="1"/>
  <c r="T41" i="1" s="1"/>
  <c r="J48" i="1"/>
  <c r="J51" i="1" s="1"/>
  <c r="J57" i="1"/>
  <c r="T42" i="1" s="1"/>
  <c r="S40" i="1"/>
  <c r="V38" i="1"/>
  <c r="I46" i="1"/>
  <c r="L43" i="1"/>
  <c r="V73" i="1" s="1"/>
  <c r="V75" i="1" s="1"/>
  <c r="L63" i="1" l="1"/>
  <c r="V71" i="1"/>
  <c r="V58" i="1"/>
  <c r="T76" i="1"/>
  <c r="J52" i="1"/>
  <c r="AE42" i="1"/>
  <c r="AE28" i="1"/>
  <c r="AE35" i="1"/>
  <c r="K57" i="1"/>
  <c r="U42" i="1" s="1"/>
  <c r="K54" i="1"/>
  <c r="U41" i="1" s="1"/>
  <c r="K48" i="1"/>
  <c r="K51" i="1" s="1"/>
  <c r="J46" i="1"/>
  <c r="T40" i="1"/>
  <c r="L57" i="1"/>
  <c r="L54" i="1"/>
  <c r="V41" i="1" s="1"/>
  <c r="L48" i="1"/>
  <c r="L51" i="1" s="1"/>
  <c r="V76" i="1" l="1"/>
  <c r="U76" i="1"/>
  <c r="L52" i="1"/>
  <c r="K52" i="1"/>
  <c r="V42" i="1"/>
  <c r="K46" i="1"/>
  <c r="U40" i="1"/>
  <c r="V40" i="1"/>
  <c r="L46" i="1" l="1"/>
  <c r="H114" i="1"/>
  <c r="AF63" i="1"/>
  <c r="AG63" i="1" s="1"/>
  <c r="F26" i="1" s="1"/>
  <c r="AF64" i="1"/>
  <c r="AG64" i="1" s="1"/>
  <c r="F27" i="1" s="1"/>
  <c r="AF65" i="1"/>
  <c r="AG65" i="1" s="1"/>
  <c r="F28" i="1" s="1"/>
  <c r="AF67" i="1"/>
  <c r="H71" i="1" s="1"/>
  <c r="AF62" i="1"/>
  <c r="AG62" i="1" s="1"/>
  <c r="AF69" i="1"/>
  <c r="H93" i="1" s="1"/>
  <c r="AF68" i="1"/>
  <c r="H82" i="1" s="1"/>
  <c r="AF61" i="1"/>
  <c r="AF70" i="1"/>
  <c r="J104" i="1" s="1"/>
  <c r="F5" i="1" l="1"/>
  <c r="B26" i="1" s="1"/>
  <c r="Y83" i="1" s="1"/>
  <c r="F6" i="1"/>
  <c r="B27" i="1" s="1"/>
  <c r="Y84" i="1" s="1"/>
  <c r="I93" i="1"/>
  <c r="H94" i="1"/>
  <c r="G27" i="1"/>
  <c r="AB84" i="1"/>
  <c r="G91" i="1"/>
  <c r="H70" i="1"/>
  <c r="F4" i="1"/>
  <c r="B25" i="1" s="1"/>
  <c r="G26" i="1"/>
  <c r="AB83" i="1"/>
  <c r="G80" i="1"/>
  <c r="L25" i="1"/>
  <c r="L31" i="1" s="1"/>
  <c r="I82" i="1"/>
  <c r="H83" i="1"/>
  <c r="H72" i="1"/>
  <c r="H73" i="1" s="1"/>
  <c r="I71" i="1"/>
  <c r="G102" i="1"/>
  <c r="AB86" i="1"/>
  <c r="G28" i="1"/>
  <c r="H104" i="1"/>
  <c r="F7" i="1"/>
  <c r="B28" i="1" s="1"/>
  <c r="I104" i="1"/>
  <c r="K104" i="1"/>
  <c r="L104" i="1"/>
  <c r="B76" i="1" l="1"/>
  <c r="AB85" i="1"/>
  <c r="AD85" i="1" s="1"/>
  <c r="B87" i="1"/>
  <c r="B98" i="1"/>
  <c r="Y86" i="1"/>
  <c r="L89" i="1"/>
  <c r="I89" i="1"/>
  <c r="H88" i="1"/>
  <c r="K89" i="1"/>
  <c r="H89" i="1"/>
  <c r="J89" i="1"/>
  <c r="V32" i="1"/>
  <c r="U32" i="1"/>
  <c r="F30" i="1"/>
  <c r="V33" i="1"/>
  <c r="T32" i="1"/>
  <c r="U33" i="1"/>
  <c r="T33" i="1"/>
  <c r="H99" i="1"/>
  <c r="J100" i="1"/>
  <c r="L100" i="1"/>
  <c r="H100" i="1"/>
  <c r="I100" i="1"/>
  <c r="K100" i="1"/>
  <c r="J82" i="1"/>
  <c r="I83" i="1"/>
  <c r="Y82" i="1"/>
  <c r="B65" i="1"/>
  <c r="J93" i="1"/>
  <c r="I94" i="1"/>
  <c r="J71" i="1"/>
  <c r="I72" i="1"/>
  <c r="H77" i="1"/>
  <c r="J78" i="1"/>
  <c r="I78" i="1"/>
  <c r="S45" i="1" s="1"/>
  <c r="L78" i="1"/>
  <c r="K78" i="1"/>
  <c r="H78" i="1"/>
  <c r="R45" i="1" s="1"/>
  <c r="AB87" i="1" l="1"/>
  <c r="V45" i="1"/>
  <c r="T45" i="1"/>
  <c r="J72" i="1"/>
  <c r="K71" i="1"/>
  <c r="H95" i="1"/>
  <c r="U45" i="1"/>
  <c r="H84" i="1"/>
  <c r="H105" i="1"/>
  <c r="AD87" i="1"/>
  <c r="J94" i="1"/>
  <c r="K93" i="1"/>
  <c r="G30" i="1"/>
  <c r="G31" i="1" s="1"/>
  <c r="E33" i="1"/>
  <c r="AB89" i="1"/>
  <c r="AB90" i="1" s="1"/>
  <c r="AB92" i="1" s="1"/>
  <c r="F31" i="1"/>
  <c r="H30" i="1" s="1"/>
  <c r="J83" i="1"/>
  <c r="K82" i="1"/>
  <c r="R64" i="1" l="1"/>
  <c r="R43" i="1" s="1"/>
  <c r="L82" i="1"/>
  <c r="L83" i="1" s="1"/>
  <c r="K83" i="1"/>
  <c r="H24" i="1"/>
  <c r="H25" i="1"/>
  <c r="H29" i="1"/>
  <c r="H27" i="1"/>
  <c r="H28" i="1"/>
  <c r="H26" i="1"/>
  <c r="AD92" i="1"/>
  <c r="AC85" i="1"/>
  <c r="L71" i="1"/>
  <c r="L72" i="1" s="1"/>
  <c r="K72" i="1"/>
  <c r="AD90" i="1"/>
  <c r="AC90" i="1"/>
  <c r="K94" i="1"/>
  <c r="L93" i="1"/>
  <c r="L94" i="1" s="1"/>
  <c r="AC87" i="1"/>
  <c r="R65" i="1" l="1"/>
  <c r="R44" i="1"/>
  <c r="R46" i="1" s="1"/>
  <c r="H67" i="1" s="1"/>
  <c r="H68" i="1" s="1"/>
  <c r="R66" i="1"/>
  <c r="H31" i="1"/>
  <c r="H79" i="1" l="1"/>
  <c r="H80" i="1" s="1"/>
  <c r="I77" i="1" s="1"/>
  <c r="I66" i="1"/>
  <c r="I73" i="1" l="1"/>
  <c r="I70" i="1"/>
  <c r="H90" i="1"/>
  <c r="H91" i="1" s="1"/>
  <c r="I88" i="1" s="1"/>
  <c r="I84" i="1"/>
  <c r="I95" i="1" l="1"/>
  <c r="H101" i="1"/>
  <c r="H102" i="1" s="1"/>
  <c r="I99" i="1" s="1"/>
  <c r="I105" i="1" l="1"/>
  <c r="H110" i="1"/>
  <c r="H111" i="1" s="1"/>
  <c r="I109" i="1" l="1"/>
  <c r="R60" i="1"/>
  <c r="R61" i="1" l="1"/>
  <c r="R78" i="1"/>
  <c r="R79" i="1" s="1"/>
  <c r="R82" i="1" s="1"/>
  <c r="R62" i="1"/>
  <c r="I114" i="1"/>
  <c r="S64" i="1" s="1"/>
  <c r="R84" i="1" l="1"/>
  <c r="R85" i="1" s="1"/>
  <c r="R88" i="1" s="1"/>
  <c r="R87" i="1"/>
  <c r="S44" i="1"/>
  <c r="S66" i="1"/>
  <c r="S43" i="1"/>
  <c r="S65" i="1"/>
  <c r="S46" i="1" l="1"/>
  <c r="I67" i="1" s="1"/>
  <c r="I68" i="1" s="1"/>
  <c r="J66" i="1" l="1"/>
  <c r="I79" i="1"/>
  <c r="I80" i="1" l="1"/>
  <c r="I90" i="1"/>
  <c r="I91" i="1" s="1"/>
  <c r="J88" i="1" s="1"/>
  <c r="J73" i="1"/>
  <c r="J70" i="1"/>
  <c r="J95" i="1" l="1"/>
  <c r="I101" i="1"/>
  <c r="I102" i="1" s="1"/>
  <c r="J99" i="1" s="1"/>
  <c r="J77" i="1"/>
  <c r="J105" i="1" l="1"/>
  <c r="J84" i="1"/>
  <c r="I110" i="1"/>
  <c r="I111" i="1" s="1"/>
  <c r="J109" i="1" s="1"/>
  <c r="S60" i="1" l="1"/>
  <c r="J114" i="1"/>
  <c r="T64" i="1" s="1"/>
  <c r="T44" i="1" l="1"/>
  <c r="T43" i="1"/>
  <c r="T65" i="1"/>
  <c r="T66" i="1"/>
  <c r="S62" i="1"/>
  <c r="S61" i="1"/>
  <c r="S78" i="1"/>
  <c r="S79" i="1" s="1"/>
  <c r="S82" i="1" s="1"/>
  <c r="S84" i="1" l="1"/>
  <c r="S85" i="1" s="1"/>
  <c r="S88" i="1" s="1"/>
  <c r="S87" i="1"/>
  <c r="T46" i="1"/>
  <c r="J67" i="1" l="1"/>
  <c r="J68" i="1" s="1"/>
  <c r="J79" i="1" l="1"/>
  <c r="J80" i="1" s="1"/>
  <c r="K77" i="1" s="1"/>
  <c r="K84" i="1" s="1"/>
  <c r="K66" i="1"/>
  <c r="J90" i="1" l="1"/>
  <c r="J91" i="1" s="1"/>
  <c r="K88" i="1" s="1"/>
  <c r="K95" i="1" s="1"/>
  <c r="K73" i="1"/>
  <c r="K70" i="1"/>
  <c r="J101" i="1" l="1"/>
  <c r="J102" i="1" s="1"/>
  <c r="K99" i="1" s="1"/>
  <c r="K105" i="1" s="1"/>
  <c r="J110" i="1" l="1"/>
  <c r="J111" i="1" s="1"/>
  <c r="K109" i="1" s="1"/>
  <c r="K114" i="1" s="1"/>
  <c r="U64" i="1" s="1"/>
  <c r="U65" i="1" s="1"/>
  <c r="U44" i="1" l="1"/>
  <c r="U43" i="1"/>
  <c r="U66" i="1"/>
  <c r="T60" i="1"/>
  <c r="T62" i="1" s="1"/>
  <c r="U46" i="1" l="1"/>
  <c r="K67" i="1" s="1"/>
  <c r="K68" i="1" s="1"/>
  <c r="L66" i="1" s="1"/>
  <c r="T78" i="1"/>
  <c r="T79" i="1" s="1"/>
  <c r="T82" i="1" s="1"/>
  <c r="T84" i="1" s="1"/>
  <c r="T85" i="1" s="1"/>
  <c r="T88" i="1" s="1"/>
  <c r="T61" i="1"/>
  <c r="K79" i="1" l="1"/>
  <c r="K80" i="1" s="1"/>
  <c r="L77" i="1" s="1"/>
  <c r="L84" i="1" s="1"/>
  <c r="T87" i="1"/>
  <c r="L73" i="1"/>
  <c r="L70" i="1"/>
  <c r="K90" i="1" l="1"/>
  <c r="K91" i="1" s="1"/>
  <c r="L88" i="1" s="1"/>
  <c r="L95" i="1" s="1"/>
  <c r="K101" i="1" l="1"/>
  <c r="K102" i="1" s="1"/>
  <c r="K110" i="1" l="1"/>
  <c r="K111" i="1" s="1"/>
  <c r="L109" i="1" s="1"/>
  <c r="L114" i="1" s="1"/>
  <c r="L99" i="1"/>
  <c r="U60" i="1" l="1"/>
  <c r="U78" i="1" s="1"/>
  <c r="U79" i="1" s="1"/>
  <c r="U82" i="1" s="1"/>
  <c r="L105" i="1"/>
  <c r="V64" i="1" s="1"/>
  <c r="U61" i="1" l="1"/>
  <c r="U62" i="1"/>
  <c r="V65" i="1"/>
  <c r="V44" i="1"/>
  <c r="V43" i="1"/>
  <c r="V66" i="1"/>
  <c r="U84" i="1"/>
  <c r="U85" i="1" s="1"/>
  <c r="U88" i="1" s="1"/>
  <c r="U87" i="1"/>
  <c r="V46" i="1" l="1"/>
  <c r="L67" i="1" s="1"/>
  <c r="L68" i="1" s="1"/>
  <c r="L79" i="1" l="1"/>
  <c r="L80" i="1" s="1"/>
  <c r="L90" i="1" l="1"/>
  <c r="L91" i="1" s="1"/>
  <c r="L101" i="1" l="1"/>
  <c r="L102" i="1" s="1"/>
  <c r="L110" i="1" l="1"/>
  <c r="L111" i="1" s="1"/>
  <c r="V60" i="1" s="1"/>
  <c r="V62" i="1" s="1"/>
  <c r="V61" i="1" l="1"/>
  <c r="V78" i="1"/>
  <c r="V79" i="1" s="1"/>
  <c r="V82" i="1" s="1"/>
  <c r="V84" i="1" s="1"/>
  <c r="V85" i="1" s="1"/>
  <c r="V88" i="1" s="1"/>
  <c r="I19" i="1" s="1"/>
  <c r="V87" i="1" l="1"/>
</calcChain>
</file>

<file path=xl/sharedStrings.xml><?xml version="1.0" encoding="utf-8"?>
<sst xmlns="http://schemas.openxmlformats.org/spreadsheetml/2006/main" count="1381" uniqueCount="482">
  <si>
    <t>Hexcel Corporation (NYSE:HXL) &gt; Financials &gt; Key Stats</t>
  </si>
  <si>
    <t>In Millions of the trading currency, except per share items.</t>
  </si>
  <si>
    <t>Currency:</t>
  </si>
  <si>
    <t>Trading Currency</t>
  </si>
  <si>
    <t> </t>
  </si>
  <si>
    <t>Conversion:</t>
  </si>
  <si>
    <t>Historical</t>
  </si>
  <si>
    <t>Order:</t>
  </si>
  <si>
    <t>Latest on Right</t>
  </si>
  <si>
    <t>Units:</t>
  </si>
  <si>
    <t>S&amp;P Capital IQ (Default)</t>
  </si>
  <si>
    <t>Decimals:</t>
  </si>
  <si>
    <t>Capital IQ (Default)</t>
  </si>
  <si>
    <t>Dilution:</t>
  </si>
  <si>
    <t>Basic</t>
  </si>
  <si>
    <t>Key Financials¹</t>
  </si>
  <si>
    <t xml:space="preserve">For the Fiscal Period Ending
</t>
  </si>
  <si>
    <t>12 months
Dec-31-2014A</t>
  </si>
  <si>
    <t>12 months
Dec-31-2015A</t>
  </si>
  <si>
    <t>12 months
Dec-31-2016A</t>
  </si>
  <si>
    <t>12 months
Dec-31-2017A</t>
  </si>
  <si>
    <t>12 months
Dec-31-2018A</t>
  </si>
  <si>
    <t>LTM²
12 months
Sep-30-2019A</t>
  </si>
  <si>
    <t>Currency</t>
  </si>
  <si>
    <t>USD</t>
  </si>
  <si>
    <t>Total Revenue</t>
  </si>
  <si>
    <t xml:space="preserve">  Growth Over Prior Year</t>
  </si>
  <si>
    <t>Gross Profit</t>
  </si>
  <si>
    <t xml:space="preserve">  Margin %</t>
  </si>
  <si>
    <t>EBITDA</t>
  </si>
  <si>
    <t>EBIT</t>
  </si>
  <si>
    <t>Earnings from Cont. Ops.</t>
  </si>
  <si>
    <t>Net Income</t>
  </si>
  <si>
    <t>Diluted EPS Excl. Extra Items³</t>
  </si>
  <si>
    <t xml:space="preserve"> </t>
  </si>
  <si>
    <t>Exchange Rate</t>
  </si>
  <si>
    <t>Conversion Method</t>
  </si>
  <si>
    <t>H</t>
  </si>
  <si>
    <t>¹All results are taken from the most recently filed statement for each period. When there has been more than one, earlier filings can be viewed on the individual statement pages.</t>
  </si>
  <si>
    <t>²Growth rates for the LTM period are calculated against the LTM period ending 12 months before.</t>
  </si>
  <si>
    <t>Growth Rates are calculated in originally reported currency only and will not reflect any currency conversion selected above.</t>
  </si>
  <si>
    <t>Current Capitalization (Millions of USD)</t>
  </si>
  <si>
    <t>Share Price</t>
  </si>
  <si>
    <t>Shares Out.</t>
  </si>
  <si>
    <t>Market Capitalization</t>
  </si>
  <si>
    <t>- Cash &amp; Short Term Investments</t>
  </si>
  <si>
    <t>+ Total Debt</t>
  </si>
  <si>
    <t>+ Pref. Equity</t>
  </si>
  <si>
    <t>-</t>
  </si>
  <si>
    <t>+ Total Minority Interest</t>
  </si>
  <si>
    <t>= Total Enterprise Value (TEV)</t>
  </si>
  <si>
    <t>Book Value of Common Equity</t>
  </si>
  <si>
    <t>= Total Capital</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</si>
  <si>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</si>
  <si>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</si>
  <si>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</si>
  <si>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</si>
  <si>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</si>
  <si>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</si>
  <si>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LTM
12 months
Sep-30-2019A</t>
  </si>
  <si>
    <t>TEV/Total Revenue</t>
  </si>
  <si>
    <t>TEV/EBITDA</t>
  </si>
  <si>
    <t>TEV/EBIT</t>
  </si>
  <si>
    <t>P/Diluted EPS Before Extra</t>
  </si>
  <si>
    <t>P/BV</t>
  </si>
  <si>
    <t>Price/Tang BV</t>
  </si>
  <si>
    <t xml:space="preserve">
               </t>
  </si>
  <si>
    <t>Hexcel Corporation (NYSE:HXL) &gt; Financials &gt; Income Statement</t>
  </si>
  <si>
    <t>In Millions of the reported currency, except per share items.</t>
  </si>
  <si>
    <t>Template:</t>
  </si>
  <si>
    <t>Standard</t>
  </si>
  <si>
    <t>Restatement:</t>
  </si>
  <si>
    <t>Latest Filings</t>
  </si>
  <si>
    <t>Period Type:</t>
  </si>
  <si>
    <t>Annual</t>
  </si>
  <si>
    <t>Reported Currency</t>
  </si>
  <si>
    <t>Income Statement</t>
  </si>
  <si>
    <t>12 months
Dec-31-2014</t>
  </si>
  <si>
    <t>12 months
Dec-31-2015</t>
  </si>
  <si>
    <t>12 months
Dec-31-2016</t>
  </si>
  <si>
    <t>12 months
Dec-31-2017</t>
  </si>
  <si>
    <t>12 months
Dec-31-2018</t>
  </si>
  <si>
    <t>LTM
12 months
Sep-30-2019</t>
  </si>
  <si>
    <t>Revenue</t>
  </si>
  <si>
    <t>Other Revenue</t>
  </si>
  <si>
    <t xml:space="preserve">  Total Revenue</t>
  </si>
  <si>
    <t>Cost Of Goods Sold</t>
  </si>
  <si>
    <t xml:space="preserve">  Gross Profit</t>
  </si>
  <si>
    <t>Selling General &amp; Admin Exp.</t>
  </si>
  <si>
    <t>R &amp; D Exp.</t>
  </si>
  <si>
    <t>Depreciation &amp; Amort.</t>
  </si>
  <si>
    <t>Other Operating Expense/(Income)</t>
  </si>
  <si>
    <t xml:space="preserve">  Other Operating Exp., Total</t>
  </si>
  <si>
    <t xml:space="preserve">  Operating Income</t>
  </si>
  <si>
    <t>Interest Expense</t>
  </si>
  <si>
    <t>Interest and Invest. Income</t>
  </si>
  <si>
    <t xml:space="preserve">  Net Interest Exp.</t>
  </si>
  <si>
    <t>Income/(Loss) from Affiliates</t>
  </si>
  <si>
    <t>Other Non-Operating Inc. (Exp.)</t>
  </si>
  <si>
    <t xml:space="preserve">  EBT Excl. Unusual Items</t>
  </si>
  <si>
    <t>Restructuring Charges</t>
  </si>
  <si>
    <t>Impairment of Goodwill</t>
  </si>
  <si>
    <t>Insurance Settlements</t>
  </si>
  <si>
    <t>Other Unusual Items</t>
  </si>
  <si>
    <t xml:space="preserve">  EBT Incl. Unusual Items</t>
  </si>
  <si>
    <t>Income Tax Expense</t>
  </si>
  <si>
    <t xml:space="preserve">  Earnings from Cont. Ops.</t>
  </si>
  <si>
    <t>Earnings of Discontinued Ops.</t>
  </si>
  <si>
    <t>Extraord. Item &amp; Account. Change</t>
  </si>
  <si>
    <t xml:space="preserve">  Net Income to Company</t>
  </si>
  <si>
    <t>Minority Int. in Earnings</t>
  </si>
  <si>
    <t xml:space="preserve">  Net Income</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</si>
  <si>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</si>
  <si>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</si>
  <si>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</si>
  <si>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</si>
  <si>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</si>
  <si>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</si>
  <si>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</si>
  <si>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</si>
  <si>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</si>
  <si>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</si>
  <si>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</si>
  <si>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</si>
  <si>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</si>
  <si>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NA</t>
  </si>
  <si>
    <t>Payout Ratio %</t>
  </si>
  <si>
    <t>Supplemental Items</t>
  </si>
  <si>
    <t>EBITA</t>
  </si>
  <si>
    <t>EBITDAR</t>
  </si>
  <si>
    <t>Effective Tax Rate %</t>
  </si>
  <si>
    <t>Current Domestic Taxes</t>
  </si>
  <si>
    <t>Current Foreign Taxes</t>
  </si>
  <si>
    <t>Total Current Taxes</t>
  </si>
  <si>
    <t>Deferred Domestic Taxes</t>
  </si>
  <si>
    <t>Deferred Foreign Taxes</t>
  </si>
  <si>
    <t>Total Deferred Taxes</t>
  </si>
  <si>
    <t>Normalized Net Income</t>
  </si>
  <si>
    <t>Interest Capitalized</t>
  </si>
  <si>
    <t>Non-Cash Pension Expense</t>
  </si>
  <si>
    <t>Filing Date</t>
  </si>
  <si>
    <t>Restatement Type</t>
  </si>
  <si>
    <t>NC</t>
  </si>
  <si>
    <t>O</t>
  </si>
  <si>
    <t>Calculation Type</t>
  </si>
  <si>
    <t>REP</t>
  </si>
  <si>
    <t>LTM</t>
  </si>
  <si>
    <t>Supplemental Operating Expense Items</t>
  </si>
  <si>
    <t>R&amp;D Exp.</t>
  </si>
  <si>
    <t>Net Rental Exp.</t>
  </si>
  <si>
    <t>Imputed Oper. Lease Interest Exp.</t>
  </si>
  <si>
    <t>Imputed Oper. Lease Depreciation</t>
  </si>
  <si>
    <t>Stock-Based Comp., Unallocated</t>
  </si>
  <si>
    <t xml:space="preserve">  Stock-Based Comp., Total</t>
  </si>
  <si>
    <t>Note: For multiple class companies, per share items are primary class equivalent, and for foreign companies listed as primary ADRs, per share items are ADR-equivalent.</t>
  </si>
  <si>
    <t>Hexcel Corporation (NYSE:HXL) &gt; Financials &gt; Balance Sheet</t>
  </si>
  <si>
    <t>Balance Sheet</t>
  </si>
  <si>
    <t xml:space="preserve">Balance Sheet as of:
</t>
  </si>
  <si>
    <t>ASSETS</t>
  </si>
  <si>
    <t>Cash And Equivalents</t>
  </si>
  <si>
    <t xml:space="preserve">  Total Cash &amp; ST Investments</t>
  </si>
  <si>
    <t>Accounts Receivable</t>
  </si>
  <si>
    <t xml:space="preserve">  Total Receivables</t>
  </si>
  <si>
    <t>Inventory</t>
  </si>
  <si>
    <t>Prepaid Exp.</t>
  </si>
  <si>
    <t>Deferred Tax Assets, Curr.</t>
  </si>
  <si>
    <t>Other Current Assets</t>
  </si>
  <si>
    <t xml:space="preserve">  Total Current Assets</t>
  </si>
  <si>
    <t>Gross Property, Plant &amp; Equipment</t>
  </si>
  <si>
    <t>Accumulated Depreciation</t>
  </si>
  <si>
    <t xml:space="preserve">  Net Property, Plant &amp; Equipment</t>
  </si>
  <si>
    <t>Long-term Investments</t>
  </si>
  <si>
    <t>Goodwill</t>
  </si>
  <si>
    <t>Other Intangibles</t>
  </si>
  <si>
    <t>Deferred Tax Assets, LT</t>
  </si>
  <si>
    <t>Other Long-Term Assets</t>
  </si>
  <si>
    <t>Total Assets</t>
  </si>
  <si>
    <t>LIABILITIES</t>
  </si>
  <si>
    <t>Accounts Payable</t>
  </si>
  <si>
    <t>Accrued Exp.</t>
  </si>
  <si>
    <t>Short-term Borrowings</t>
  </si>
  <si>
    <t>Curr. Port. of LT Debt</t>
  </si>
  <si>
    <t>Curr. Port. of Cap. Leases</t>
  </si>
  <si>
    <t>Other Current Liabilities</t>
  </si>
  <si>
    <t xml:space="preserve">  Total Current Liabilities</t>
  </si>
  <si>
    <t>Long-Term Debt</t>
  </si>
  <si>
    <t>Capital Leases</t>
  </si>
  <si>
    <t>Pension &amp; Other Post-Retire. Benefits</t>
  </si>
  <si>
    <t>Def. Tax Liability, Non-Curr.</t>
  </si>
  <si>
    <t>Other Non-Current Liabilities</t>
  </si>
  <si>
    <t>Total Liabilities</t>
  </si>
  <si>
    <t>Common Stock</t>
  </si>
  <si>
    <t>Additional Paid In Capital</t>
  </si>
  <si>
    <t>Retained Earnings</t>
  </si>
  <si>
    <t>Treasury Stock</t>
  </si>
  <si>
    <t>Comprehensive Inc. and Other</t>
  </si>
  <si>
    <t xml:space="preserve">  Total Common Equity</t>
  </si>
  <si>
    <t>Total Equity</t>
  </si>
  <si>
    <t>Total Liabilities And Equity</t>
  </si>
  <si>
    <t>Total Shares Out. on Filing Date</t>
  </si>
  <si>
    <t>Total Shares Out. on Balance Sheet Date</t>
  </si>
  <si>
    <t>Book Value/Share</t>
  </si>
  <si>
    <t>Tangible Book Value</t>
  </si>
  <si>
    <t>Tangible Book Value/Share</t>
  </si>
  <si>
    <t>Total Debt</t>
  </si>
  <si>
    <t>Net Debt</t>
  </si>
  <si>
    <t>Debt Equiv. of Unfunded Proj. Benefit Obligation</t>
  </si>
  <si>
    <t>Debt Equivalent Oper. Leases</t>
  </si>
  <si>
    <t>Equity Method Investments</t>
  </si>
  <si>
    <t>Inventory Method</t>
  </si>
  <si>
    <t>FIFO</t>
  </si>
  <si>
    <t>Avg Cost</t>
  </si>
  <si>
    <t>Raw Materials Inventory</t>
  </si>
  <si>
    <t>Work in Progress Inventory</t>
  </si>
  <si>
    <t>Finished Goods Inventory</t>
  </si>
  <si>
    <t>Land</t>
  </si>
  <si>
    <t>Buildings</t>
  </si>
  <si>
    <t>Machinery</t>
  </si>
  <si>
    <t>Construction in Progress</t>
  </si>
  <si>
    <t>Full Time Employees</t>
  </si>
  <si>
    <t>Assets under Cap. Lease, Gross</t>
  </si>
  <si>
    <t>Accum. Allowance for Doubtful Accts</t>
  </si>
  <si>
    <t>RUP</t>
  </si>
  <si>
    <t>Note: For multiple class companies, total share counts are primary class equivalent, and for foreign companies listed as primary ADRs, total share counts are ADR-equivalent.</t>
  </si>
  <si>
    <t>Hexcel Corporation (NYSE:HXL) &gt; Financials &gt; Cash Flow</t>
  </si>
  <si>
    <t>Cash Flow</t>
  </si>
  <si>
    <t>Amort. of Goodwill and Intangibles</t>
  </si>
  <si>
    <t>Depreciation &amp; Amort., Total</t>
  </si>
  <si>
    <t>Other Amortization</t>
  </si>
  <si>
    <t>Asset Writedown &amp; Restructuring Costs</t>
  </si>
  <si>
    <t>(Income) Loss on Equity Invest.</t>
  </si>
  <si>
    <t>Stock-Based Compensation</t>
  </si>
  <si>
    <t>Tax Benefit from Stock Options</t>
  </si>
  <si>
    <t>Other Operating Activities</t>
  </si>
  <si>
    <t>Change in Acc. Receivable</t>
  </si>
  <si>
    <t>Change In Inventories</t>
  </si>
  <si>
    <t>Change in Acc. Payable</t>
  </si>
  <si>
    <t>Change in Other Net Operating Assets</t>
  </si>
  <si>
    <t xml:space="preserve">  Cash from Ops.</t>
  </si>
  <si>
    <t>Capital Expenditure</t>
  </si>
  <si>
    <t>Cash Acquisitions</t>
  </si>
  <si>
    <t>Divestitures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</si>
  <si>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</si>
  <si>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</si>
  <si>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</si>
  <si>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</si>
  <si>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</si>
  <si>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</si>
  <si>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</si>
  <si>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</si>
  <si>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</si>
  <si>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</si>
  <si>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</si>
  <si>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Repurchase of Common Stock</t>
  </si>
  <si>
    <t>Common Dividends Paid</t>
  </si>
  <si>
    <t>Total Dividends Paid</t>
  </si>
  <si>
    <t>Special Dividend Paid</t>
  </si>
  <si>
    <t>Other Financing Activities</t>
  </si>
  <si>
    <t xml:space="preserve">  Cash from Financing</t>
  </si>
  <si>
    <t>Foreign Exchange Rate Adj.</t>
  </si>
  <si>
    <t xml:space="preserve">  Net Change in Cash</t>
  </si>
  <si>
    <t>Cash Interest Paid</t>
  </si>
  <si>
    <t>Cash Taxes Paid</t>
  </si>
  <si>
    <t>Levered Free Cash Flow</t>
  </si>
  <si>
    <t>Unlevered Free Cash Flow</t>
  </si>
  <si>
    <t>Change in Net Working Capital</t>
  </si>
  <si>
    <t>Net Debt Issued</t>
  </si>
  <si>
    <t>Company Name</t>
  </si>
  <si>
    <t>Teijin Limited</t>
  </si>
  <si>
    <t>Solvay SA</t>
  </si>
  <si>
    <t>Toray Indstries Inc</t>
  </si>
  <si>
    <t>Hexcel</t>
  </si>
  <si>
    <t>TEV</t>
  </si>
  <si>
    <t>LTM EBITDA</t>
  </si>
  <si>
    <t xml:space="preserve">LTM Gross Margin % </t>
  </si>
  <si>
    <t xml:space="preserve">LTM EBITDA Margin % </t>
  </si>
  <si>
    <t xml:space="preserve">LTM EBIT Margin % </t>
  </si>
  <si>
    <t xml:space="preserve">LTM Net Income Margin % </t>
  </si>
  <si>
    <t xml:space="preserve">LTM Total Revenues, 1 Yr Growth % </t>
  </si>
  <si>
    <t xml:space="preserve">LTM EBITDA, 1 Yr Growth % </t>
  </si>
  <si>
    <t xml:space="preserve">LTM EBIT, 1 Yr Growth % </t>
  </si>
  <si>
    <t xml:space="preserve">LTM Net Income, 1 Yr Growth % </t>
  </si>
  <si>
    <t>LTM Total Debt/Capital %</t>
  </si>
  <si>
    <t xml:space="preserve">LTM Total Debt/EBITDA </t>
  </si>
  <si>
    <t>5 Year Beta</t>
  </si>
  <si>
    <t>Source: CapitalIQ</t>
  </si>
  <si>
    <t>Operating Assumptions</t>
  </si>
  <si>
    <t>Entry Year</t>
  </si>
  <si>
    <t>Projected Period</t>
  </si>
  <si>
    <t>Historicals</t>
  </si>
  <si>
    <t>Net Revenue</t>
  </si>
  <si>
    <t>% Growth</t>
  </si>
  <si>
    <t>% Margin</t>
  </si>
  <si>
    <t>D&amp;A</t>
  </si>
  <si>
    <t>CapEx</t>
  </si>
  <si>
    <t>z</t>
  </si>
  <si>
    <t>Calendarization and Timing</t>
  </si>
  <si>
    <t>Last FY End</t>
  </si>
  <si>
    <t>LTM End Date</t>
  </si>
  <si>
    <t>Current Date</t>
  </si>
  <si>
    <t>Expected Closing Date</t>
  </si>
  <si>
    <t>Month from Last FYE to LTM End</t>
  </si>
  <si>
    <t>Month from Closing to Next FYE</t>
  </si>
  <si>
    <t>OpCase</t>
  </si>
  <si>
    <t>Mgmt. Case</t>
  </si>
  <si>
    <t>P50 Case</t>
  </si>
  <si>
    <t>Lender Case</t>
  </si>
  <si>
    <t>Downside Case</t>
  </si>
  <si>
    <t>SG&amp;A Margin</t>
  </si>
  <si>
    <t>NWC</t>
  </si>
  <si>
    <t>($ in millions)</t>
  </si>
  <si>
    <t>Free Cash Flow Schedule</t>
  </si>
  <si>
    <t>(-) CapEx</t>
  </si>
  <si>
    <t>(-) Increase in NWC</t>
  </si>
  <si>
    <t>(-) Cash Interest Expense</t>
  </si>
  <si>
    <t>FCF for Optional Payments</t>
  </si>
  <si>
    <t>(-) Schedule Payment</t>
  </si>
  <si>
    <t>FinCase</t>
  </si>
  <si>
    <t>Tax Rate</t>
  </si>
  <si>
    <t>EBITDA Margin</t>
  </si>
  <si>
    <t>% Incremental Growth</t>
  </si>
  <si>
    <t>PPE</t>
  </si>
  <si>
    <t>Invested Caital</t>
  </si>
  <si>
    <t>ROIC</t>
  </si>
  <si>
    <t>NOPAT</t>
  </si>
  <si>
    <t>Cash</t>
  </si>
  <si>
    <t>Toray Industries, Inc. (TSE:3402) &gt; Financials &gt; Key Stats</t>
  </si>
  <si>
    <t>Today's Spot Rate</t>
  </si>
  <si>
    <t>Key Stats</t>
  </si>
  <si>
    <t>12 months
Mar-31-2015A</t>
  </si>
  <si>
    <t>12 months
Mar-31-2016A</t>
  </si>
  <si>
    <t>12 months
Mar-31-2017A</t>
  </si>
  <si>
    <t>12 months
Mar-31-2018A</t>
  </si>
  <si>
    <t>12 months
Mar-31-2019A</t>
  </si>
  <si>
    <t>JPY</t>
  </si>
  <si>
    <t>Data Source</t>
  </si>
  <si>
    <t>S&amp;P CIQ</t>
  </si>
  <si>
    <t>TK</t>
  </si>
  <si>
    <t>Current Capitalization (Millions of JPY)</t>
  </si>
  <si>
    <t>Toray Industries, Inc. (TSE:3402) &gt; Financials &gt; Income Statement</t>
  </si>
  <si>
    <t>12 months
Mar-31-2015</t>
  </si>
  <si>
    <t>12 months
Mar-31-2016</t>
  </si>
  <si>
    <t>12 months
Mar-31-2017</t>
  </si>
  <si>
    <t>12 months
Mar-31-2018</t>
  </si>
  <si>
    <t>12 months
Mar-31-2019</t>
  </si>
  <si>
    <t>Currency Exchange Gains (Loss)</t>
  </si>
  <si>
    <t>Gain (Loss) On Sale Of Invest.</t>
  </si>
  <si>
    <t>Gain (Loss) On Sale Of Assets</t>
  </si>
  <si>
    <t>Asset Writedown</t>
  </si>
  <si>
    <t>Legal Settlements</t>
  </si>
  <si>
    <t>Shares per Depository Receipt</t>
  </si>
  <si>
    <t>Selling and Marketing Exp.</t>
  </si>
  <si>
    <t>Toray Industries, Inc. (TSE:3402) &gt; Financials &gt; Balance Sheet</t>
  </si>
  <si>
    <t>Loans Receivable Long-Term</t>
  </si>
  <si>
    <t>Curr. Income Taxes Payable</t>
  </si>
  <si>
    <t>Minority Interest</t>
  </si>
  <si>
    <t>Total Minority Interest</t>
  </si>
  <si>
    <t>Toray Industries, Inc. (TSE:3402) &gt; Financials &gt; Cash Flow</t>
  </si>
  <si>
    <t>(Gain) Loss From Sale Of Assets</t>
  </si>
  <si>
    <t>(Gain) Loss On Sale Of Invest.</t>
  </si>
  <si>
    <t>Sale of Property, Plant, and Equipment</t>
  </si>
  <si>
    <t>Sale (Purchase) of Intangible assets</t>
  </si>
  <si>
    <t>Common and/or Pref. Dividends Paid</t>
  </si>
  <si>
    <t>Misc. Cash Flow Adj.</t>
  </si>
  <si>
    <t>Toray</t>
  </si>
  <si>
    <t>CM Sales</t>
  </si>
  <si>
    <t>EP Sales</t>
  </si>
  <si>
    <t>CM OI</t>
  </si>
  <si>
    <t>EP OI</t>
  </si>
  <si>
    <t>Total Sales</t>
  </si>
  <si>
    <t>Total OI</t>
  </si>
  <si>
    <t>Seg. OI</t>
  </si>
  <si>
    <t>(-) Corp.</t>
  </si>
  <si>
    <t>COGS</t>
  </si>
  <si>
    <t>SG&amp;A</t>
  </si>
  <si>
    <t>R&amp;T</t>
  </si>
  <si>
    <t>Other</t>
  </si>
  <si>
    <t>Total Cost</t>
  </si>
  <si>
    <t>OI</t>
  </si>
  <si>
    <t>PPE as % of Sales</t>
  </si>
  <si>
    <t>PPE turnover</t>
  </si>
  <si>
    <t>% of IC</t>
  </si>
  <si>
    <t>Options and RSUs Schedule</t>
  </si>
  <si>
    <t>Potential</t>
  </si>
  <si>
    <t>Strike</t>
  </si>
  <si>
    <t>Include</t>
  </si>
  <si>
    <t>Proceeds</t>
  </si>
  <si>
    <t>Purchase Price Calculation</t>
  </si>
  <si>
    <t>Current Stock Price</t>
  </si>
  <si>
    <t>Basic Shares</t>
  </si>
  <si>
    <t>Offer Premium</t>
  </si>
  <si>
    <t>Offer PPS</t>
  </si>
  <si>
    <t>FDSO</t>
  </si>
  <si>
    <t>Equity Offer Price</t>
  </si>
  <si>
    <t>(-) Cash</t>
  </si>
  <si>
    <t>(+) Debt</t>
  </si>
  <si>
    <t>Acquisition TEV</t>
  </si>
  <si>
    <t>Implied Purch. Multiple</t>
  </si>
  <si>
    <t>Sources</t>
  </si>
  <si>
    <t>Uses</t>
  </si>
  <si>
    <t>Purchase Equity</t>
  </si>
  <si>
    <t>Financing Fees</t>
  </si>
  <si>
    <t>M&amp;A Fees</t>
  </si>
  <si>
    <t>Retiring Old Debt</t>
  </si>
  <si>
    <t>Cash to Balance Sheet</t>
  </si>
  <si>
    <t>Cash from Balance Sheet</t>
  </si>
  <si>
    <t>$</t>
  </si>
  <si>
    <t>%</t>
  </si>
  <si>
    <t>Revovler</t>
  </si>
  <si>
    <t>Term Loan A</t>
  </si>
  <si>
    <t>Term Loan B</t>
  </si>
  <si>
    <t>Senior Unsecured Loan</t>
  </si>
  <si>
    <t>Select Case</t>
  </si>
  <si>
    <t>Case</t>
  </si>
  <si>
    <t>LTM. EBITDA</t>
  </si>
  <si>
    <t>Amount</t>
  </si>
  <si>
    <t>Maturity</t>
  </si>
  <si>
    <t>Fees</t>
  </si>
  <si>
    <t>Amort.</t>
  </si>
  <si>
    <t>&lt;&lt;bullet</t>
  </si>
  <si>
    <t>Management Rollover</t>
  </si>
  <si>
    <t>Epsilon Equity</t>
  </si>
  <si>
    <t>Mgmt Roll</t>
  </si>
  <si>
    <t>Episolon Carry</t>
  </si>
  <si>
    <t>Exit Multiple</t>
  </si>
  <si>
    <t>CIRC?</t>
  </si>
  <si>
    <t>Control Dashboard</t>
  </si>
  <si>
    <t>xEBITDA</t>
  </si>
  <si>
    <t>Total Sources</t>
  </si>
  <si>
    <t>Total Uses</t>
  </si>
  <si>
    <t>Toray &lt;&gt; TeCate Composites Acquisition</t>
  </si>
  <si>
    <t>Purchase Price</t>
  </si>
  <si>
    <t>Purchase Multiple</t>
  </si>
  <si>
    <t>TEV ex. Fees</t>
  </si>
  <si>
    <t>TEV/(EBITDA-CapEx)</t>
  </si>
  <si>
    <t>Multiples</t>
  </si>
  <si>
    <t>Implied Sponsor Ownership</t>
  </si>
  <si>
    <t>x</t>
  </si>
  <si>
    <t>Project Beehive</t>
  </si>
  <si>
    <t xml:space="preserve">The Epsilon Group // Strawman LBO </t>
  </si>
  <si>
    <t>Debt Schedule</t>
  </si>
  <si>
    <t>BOP</t>
  </si>
  <si>
    <t>Optional Paydown</t>
  </si>
  <si>
    <t>EOP</t>
  </si>
  <si>
    <t>Unused Fund Fees</t>
  </si>
  <si>
    <t>Effective Rate</t>
  </si>
  <si>
    <t>LIBOR Floor</t>
  </si>
  <si>
    <t>Cash Interest Rate</t>
  </si>
  <si>
    <t>Interest Rate per Term Sheet</t>
  </si>
  <si>
    <t>Cash Interest Expense</t>
  </si>
  <si>
    <t>Optional Paydown?</t>
  </si>
  <si>
    <t>Scheduled Payment</t>
  </si>
  <si>
    <t>ECF Sweep</t>
  </si>
  <si>
    <t>Cash Balance</t>
  </si>
  <si>
    <t>Cash Increase</t>
  </si>
  <si>
    <t>Cash Interest Income</t>
  </si>
  <si>
    <t>Credit Metrics</t>
  </si>
  <si>
    <t>/EBITDA</t>
  </si>
  <si>
    <t>/(EBITDA-CapEx)</t>
  </si>
  <si>
    <t>Net Interest Expense</t>
  </si>
  <si>
    <t>EBITDA/Net Interest Expense</t>
  </si>
  <si>
    <t>(EBITDA - CapEx)/Net Interest Expense</t>
  </si>
  <si>
    <t>Return Analysis</t>
  </si>
  <si>
    <t>Terminal EBITDA</t>
  </si>
  <si>
    <t>Enterprise Value</t>
  </si>
  <si>
    <t>(-) Net Debt</t>
  </si>
  <si>
    <t>Equity Value at Exit</t>
  </si>
  <si>
    <t>Epsilon Owenership</t>
  </si>
  <si>
    <t>Gross Equity Value to Epsilon at Exit</t>
  </si>
  <si>
    <t>Carry</t>
  </si>
  <si>
    <t>Net Equity Value to Epsilon at Exit</t>
  </si>
  <si>
    <t>Gross IRR</t>
  </si>
  <si>
    <t>Net IRR</t>
  </si>
  <si>
    <t>Total Senior Secured Debt</t>
  </si>
  <si>
    <t>Total Capitalization</t>
  </si>
  <si>
    <t>($ in Millions)</t>
  </si>
  <si>
    <t>CAPEX</t>
  </si>
  <si>
    <t>Unlevered Tax</t>
  </si>
  <si>
    <t>DSCR</t>
  </si>
  <si>
    <t>Near Cash Metric</t>
  </si>
  <si>
    <t>UFCF</t>
  </si>
  <si>
    <t>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</si>
</sst>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3" formatCode="_(* #,##0.00_);_(* \(#,##0.00\);_(* &quot;-&quot;??_);_(@_)"/>
    <numFmt numFmtId="164" formatCode="&quot;$&quot;#,##0_);\(&quot;$&quot;#,##0\)"/>
    <numFmt numFmtId="165" formatCode="_(&quot;$&quot;* #,##0.00_);_(&quot;$&quot;* \(#,##0.00\);_(&quot;$&quot;* &quot;-&quot;??_);_(@_)"/>
    <numFmt numFmtId="166" formatCode="_(* #,##0.0_);_(* \(#,##0.0\)_)\ ;_(* 0_)"/>
    <numFmt numFmtId="167" formatCode="_(#,##0.0%_);_(\(#,##0.0%\)_);_(#,##0.0%_)"/>
    <numFmt numFmtId="168" formatCode="_(* #,##0.0#_);_(* \(#,##0.0#\)_)\ ;_(* 0_)"/>
    <numFmt numFmtId="169" formatCode="_(&quot;$&quot;#,##0.0#_);_(\(&quot;$&quot;#,##0.0#\)_);_(&quot;$&quot;&quot; - &quot;_)"/>
    <numFmt numFmtId="170" formatCode="#,##0.0\x"/>
    <numFmt numFmtId="171" formatCode="mmm\-dd\-yyyy"/>
    <numFmt numFmtId="172" formatCode="_(* #,##0_);_(* \(#,##0\)_)\ ;_(* 0_)"/>
    <numFmt numFmtId="173" formatCode="0.0\x"/>
    <numFmt numFmtId="174" formatCode="_(* #,##0_);_(* \(#,##0\);_(* &quot;-&quot;??_);_(@_)"/>
    <numFmt numFmtId="175" formatCode="_(#,##0.00%_);_(\(#,##0.00%\)_);_(#,##0.00%_)"/>
    <numFmt numFmtId="176" formatCode="_(\ #,##0.0#_);_(\(\ #,##0.0#\)_);_(\ &quot; - &quot;_)"/>
    <numFmt numFmtId="177" formatCode="0.0%"/>
    <numFmt numFmtId="178" formatCode="&quot;$&quot;#,##0"/>
    <numFmt numFmtId="179" formatCode="_(* #,##0.0##_);_(* \(#,##0.0##\)_)\ ;_(* 0_)"/>
    <numFmt numFmtId="180" formatCode="&quot;$&quot;#,##0.00"/>
    <numFmt numFmtId="181" formatCode="&quot;$&quot;#,##0.00_);\(&quot;$&quot;#,##0.00\);\–_);&quot;–&quot;_)"/>
    <numFmt numFmtId="182" formatCode="_(* #,##0.0_);_(* \(#,##0.0\);_(* &quot;-&quot;??_);_(@_)"/>
    <numFmt numFmtId="183" formatCode="&quot;L + &quot;0.00%"/>
    <numFmt numFmtId="184" formatCode="0\ &quot;yr&quot;"/>
    <numFmt numFmtId="185" formatCode="0.0\x_);\(0.0\x\);&quot;–&quot;_)"/>
    <numFmt numFmtId="186" formatCode="&quot;Yes&quot;;&quot;No&quot;;&quot;No&quot;"/>
    <numFmt numFmtId="187" formatCode="0.0%_);\(0.0%\);&quot;–&quot;_)"/>
    <numFmt numFmtId="188" formatCode="&quot;$&quot;#,##0_);\(&quot;$&quot;#,##0\);\–_);&quot;–&quot;_)"/>
    <numFmt numFmtId="189" formatCode="#,##0_);\(#,##0\);\–_);&quot;–&quot;_)"/>
  </numFmts>
  <fonts count="46" x14ac:knownFonts="1">
    <font>
      <sz val="9"/>
      <color theme="1"/>
      <name val="Garamond"/>
      <family val="2"/>
    </font>
    <font>
      <sz val="9"/>
      <color theme="1"/>
      <name val="Garamond"/>
      <family val="2"/>
    </font>
    <font>
      <sz val="10"/>
      <name val="Arial"/>
      <family val="2"/>
    </font>
    <font>
      <b/>
      <sz val="13"/>
      <color indexed="8"/>
      <name val="Verdana"/>
      <family val="2"/>
    </font>
    <font>
      <sz val="8"/>
      <name val="Arial"/>
      <family val="2"/>
    </font>
    <font>
      <i/>
      <sz val="8"/>
      <name val="Arial"/>
      <family val="2"/>
    </font>
    <font>
      <b/>
      <sz val="8"/>
      <name val="Arial"/>
      <family val="2"/>
    </font>
    <font>
      <sz val="8"/>
      <color indexed="8"/>
      <name val="Arial"/>
      <family val="2"/>
    </font>
    <font>
      <b/>
      <sz val="8"/>
      <color indexed="9"/>
      <name val="Verdana"/>
      <family val="2"/>
    </font>
    <font>
      <sz val="1"/>
      <color indexed="9"/>
      <name val="Symbol"/>
      <charset val="2"/>
    </font>
    <font>
      <b/>
      <sz val="8"/>
      <color indexed="8"/>
      <name val="Arial"/>
      <family val="2"/>
    </font>
    <font>
      <b/>
      <i/>
      <sz val="8"/>
      <color indexed="8"/>
      <name val="Arial"/>
      <family val="2"/>
    </font>
    <font>
      <i/>
      <sz val="8"/>
      <color indexed="8"/>
      <name val="Arial"/>
      <family val="2"/>
    </font>
    <font>
      <b/>
      <u val="double"/>
      <sz val="8"/>
      <color indexed="8"/>
      <name val="Arial"/>
      <family val="2"/>
    </font>
    <font>
      <b/>
      <u/>
      <sz val="8"/>
      <color indexed="8"/>
      <name val="Arial"/>
      <family val="2"/>
    </font>
    <font>
      <b/>
      <sz val="9"/>
      <color theme="1"/>
      <name val="Garamond"/>
      <family val="1"/>
    </font>
    <font>
      <sz val="8"/>
      <color indexed="8"/>
      <name val="Arial"/>
      <family val="2"/>
    </font>
    <font>
      <sz val="9"/>
      <color indexed="8"/>
      <name val="Garamond"/>
      <family val="1"/>
    </font>
    <font>
      <b/>
      <sz val="9"/>
      <color indexed="8"/>
      <name val="Garamond"/>
      <family val="1"/>
    </font>
    <font>
      <i/>
      <sz val="9"/>
      <color theme="1"/>
      <name val="Garamond"/>
      <family val="1"/>
    </font>
    <font>
      <sz val="9"/>
      <color rgb="FF0000FF"/>
      <name val="Garamond"/>
      <family val="2"/>
    </font>
    <font>
      <u val="singleAccounting"/>
      <sz val="9"/>
      <color theme="1"/>
      <name val="Garamond"/>
      <family val="2"/>
    </font>
    <font>
      <i/>
      <sz val="9"/>
      <color rgb="FF0000FF"/>
      <name val="Garamond"/>
      <family val="1"/>
    </font>
    <font>
      <i/>
      <u/>
      <sz val="9"/>
      <color theme="1"/>
      <name val="Garamond"/>
      <family val="1"/>
    </font>
    <font>
      <b/>
      <sz val="9"/>
      <color rgb="FF00B050"/>
      <name val="Garamond"/>
      <family val="1"/>
    </font>
    <font>
      <sz val="8"/>
      <name val="Arial"/>
      <family val="2"/>
    </font>
    <font>
      <b/>
      <sz val="8"/>
      <name val="Arial"/>
      <family val="2"/>
    </font>
    <font>
      <i/>
      <sz val="8"/>
      <name val="Arial"/>
      <family val="2"/>
    </font>
    <font>
      <b/>
      <i/>
      <sz val="8"/>
      <name val="Arial"/>
      <family val="2"/>
    </font>
    <font>
      <sz val="10"/>
      <name val="Arial"/>
      <family val="2"/>
    </font>
    <font>
      <b/>
      <sz val="13"/>
      <color indexed="8"/>
      <name val="Verdana"/>
      <family val="2"/>
    </font>
    <font>
      <b/>
      <sz val="8"/>
      <color indexed="9"/>
      <name val="Verdana"/>
      <family val="2"/>
    </font>
    <font>
      <sz val="1"/>
      <color indexed="9"/>
      <name val="Symbol"/>
      <family val="1"/>
      <charset val="2"/>
    </font>
    <font>
      <b/>
      <sz val="8"/>
      <color indexed="8"/>
      <name val="Arial"/>
      <family val="2"/>
    </font>
    <font>
      <b/>
      <i/>
      <sz val="8"/>
      <color indexed="8"/>
      <name val="Arial"/>
      <family val="2"/>
    </font>
    <font>
      <i/>
      <sz val="8"/>
      <color indexed="8"/>
      <name val="Arial"/>
      <family val="2"/>
    </font>
    <font>
      <b/>
      <u val="double"/>
      <sz val="8"/>
      <color indexed="8"/>
      <name val="Arial"/>
      <family val="2"/>
    </font>
    <font>
      <b/>
      <u/>
      <sz val="8"/>
      <color indexed="8"/>
      <name val="Arial"/>
      <family val="2"/>
    </font>
    <font>
      <sz val="9"/>
      <color rgb="FF0000FF"/>
      <name val="Garamond"/>
      <family val="1"/>
    </font>
    <font>
      <sz val="9"/>
      <color theme="1"/>
      <name val="Garamond"/>
      <family val="1"/>
    </font>
    <font>
      <b/>
      <u val="singleAccounting"/>
      <sz val="9"/>
      <color theme="1"/>
      <name val="Garamond"/>
      <family val="1"/>
    </font>
    <font>
      <sz val="9"/>
      <color indexed="12"/>
      <name val="Garamond"/>
      <family val="1"/>
    </font>
    <font>
      <b/>
      <i/>
      <sz val="9"/>
      <color theme="1"/>
      <name val="Garamond"/>
      <family val="1"/>
    </font>
    <font>
      <b/>
      <sz val="16"/>
      <color theme="1"/>
      <name val="Garamond"/>
      <family val="1"/>
    </font>
    <font>
      <b/>
      <i/>
      <sz val="9"/>
      <color rgb="FF0000FF"/>
      <name val="Garamond"/>
      <family val="1"/>
    </font>
    <font>
      <sz val="9"/>
      <name val="Garamond"/>
      <family val="2"/>
    </font>
  </fonts>
  <fills count="7">
    <fill>
      <patternFill patternType="none"/>
    </fill>
    <fill>
      <patternFill patternType="gray125"/>
    </fill>
    <fill>
      <patternFill patternType="solid">
        <fgColor indexed="56"/>
        <bgColor indexed="64"/>
      </patternFill>
    </fill>
    <fill>
      <patternFill patternType="solid">
        <fgColor indexed="6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FFFF00"/>
        <bgColor indexed="64"/>
      </patternFill>
    </fill>
  </fills>
  <borders count="15">
    <border>
      <left/>
      <right/>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
      <left/>
      <right/>
      <top/>
      <bottom style="dashed">
        <color auto="1"/>
      </bottom>
      <diagonal/>
    </border>
    <border>
      <left/>
      <right/>
      <top/>
      <bottom style="medium">
        <color rgb="FF000000"/>
      </bottom>
      <diagonal/>
    </border>
    <border>
      <left style="mediumDashed">
        <color auto="1"/>
      </left>
      <right/>
      <top style="mediumDashed">
        <color auto="1"/>
      </top>
      <bottom/>
      <diagonal/>
    </border>
    <border>
      <left/>
      <right/>
      <top style="mediumDashed">
        <color auto="1"/>
      </top>
      <bottom/>
      <diagonal/>
    </border>
    <border>
      <left style="mediumDashed">
        <color rgb="FFFF0000"/>
      </left>
      <right style="mediumDashed">
        <color rgb="FFFF0000"/>
      </right>
      <top style="mediumDashed">
        <color rgb="FFFF0000"/>
      </top>
      <bottom/>
      <diagonal/>
    </border>
    <border>
      <left style="mediumDashed">
        <color auto="1"/>
      </left>
      <right/>
      <top/>
      <bottom style="mediumDashed">
        <color auto="1"/>
      </bottom>
      <diagonal/>
    </border>
    <border>
      <left/>
      <right/>
      <top/>
      <bottom style="mediumDashed">
        <color auto="1"/>
      </bottom>
      <diagonal/>
    </border>
    <border>
      <left style="mediumDashed">
        <color rgb="FFFF0000"/>
      </left>
      <right style="mediumDashed">
        <color rgb="FFFF0000"/>
      </right>
      <top/>
      <bottom style="mediumDashed">
        <color rgb="FFFF0000"/>
      </bottom>
      <diagonal/>
    </border>
    <border>
      <left/>
      <right/>
      <top/>
      <bottom style="thin">
        <color indexed="64"/>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9" fillId="0" borderId="0" applyAlignment="0"/>
    <xf numFmtId="0" fontId="29" fillId="0" borderId="0"/>
    <xf numFmtId="0" fontId="32" fillId="0" borderId="0" applyAlignment="0"/>
    <xf numFmtId="165" fontId="1" fillId="0" borderId="0" applyFont="0" applyFill="0" applyBorder="0" applyAlignment="0" applyProtection="0"/>
  </cellStyleXfs>
  <cellXfs count="242">
    <xf numFmtId="0" fontId="0" fillId="0" borderId="0" xfId="0"/>
    <xf numFmtId="0" fontId="3" fillId="0" borderId="0" xfId="3" applyNumberFormat="1" applyFont="1" applyAlignment="1"/>
    <xf numFmtId="0" fontId="4" fillId="0" borderId="0" xfId="3" applyFont="1"/>
    <xf numFmtId="0" fontId="5" fillId="0" borderId="0" xfId="3" applyFont="1" applyAlignment="1">
      <alignment wrapText="1"/>
    </xf>
    <xf numFmtId="0" fontId="6" fillId="0" borderId="0" xfId="3" applyFont="1"/>
    <xf numFmtId="0" fontId="7" fillId="0" borderId="0" xfId="3" applyNumberFormat="1" applyFont="1" applyAlignment="1">
      <alignment horizontal="left" vertical="top"/>
    </xf>
    <xf numFmtId="49" fontId="4" fillId="0" borderId="0" xfId="3" applyNumberFormat="1" applyFont="1"/>
    <xf numFmtId="0" fontId="8" fillId="2" borderId="0" xfId="3" applyFont="1" applyFill="1" applyAlignment="1"/>
    <xf numFmtId="0" fontId="9" fillId="0" borderId="0" xfId="4" applyFont="1" applyAlignment="1"/>
    <xf numFmtId="0" fontId="10" fillId="3" borderId="0" xfId="3" applyFont="1" applyFill="1" applyAlignment="1">
      <alignment wrapText="1"/>
    </xf>
    <xf numFmtId="0" fontId="10" fillId="3" borderId="0" xfId="3" applyFont="1" applyFill="1" applyAlignment="1">
      <alignment horizontal="right" wrapText="1"/>
    </xf>
    <xf numFmtId="0" fontId="11" fillId="3" borderId="0" xfId="3" applyFont="1" applyFill="1" applyAlignment="1">
      <alignment wrapText="1"/>
    </xf>
    <xf numFmtId="0" fontId="11" fillId="3" borderId="0" xfId="3" applyFont="1" applyFill="1" applyAlignment="1">
      <alignment horizontal="right" wrapText="1"/>
    </xf>
    <xf numFmtId="0" fontId="10" fillId="0" borderId="0" xfId="3" applyFont="1" applyAlignment="1">
      <alignment horizontal="left" vertical="top"/>
    </xf>
    <xf numFmtId="0" fontId="7" fillId="0" borderId="0" xfId="3" applyFont="1" applyAlignment="1">
      <alignment horizontal="left" vertical="top"/>
    </xf>
    <xf numFmtId="166" fontId="10" fillId="0" borderId="0" xfId="3" applyNumberFormat="1" applyFont="1" applyAlignment="1">
      <alignment horizontal="right" vertical="top" wrapText="1"/>
    </xf>
    <xf numFmtId="0" fontId="12" fillId="0" borderId="0" xfId="3" applyFont="1" applyAlignment="1">
      <alignment horizontal="left" vertical="top"/>
    </xf>
    <xf numFmtId="167" fontId="12" fillId="0" borderId="0" xfId="3" applyNumberFormat="1" applyFont="1" applyAlignment="1">
      <alignment horizontal="right" vertical="top" wrapText="1"/>
    </xf>
    <xf numFmtId="168" fontId="10" fillId="0" borderId="0" xfId="3" applyNumberFormat="1" applyFont="1" applyAlignment="1">
      <alignment horizontal="right" vertical="top" wrapText="1"/>
    </xf>
    <xf numFmtId="49" fontId="7" fillId="0" borderId="0" xfId="3" applyNumberFormat="1" applyFont="1" applyAlignment="1">
      <alignment horizontal="right" vertical="top" wrapText="1"/>
    </xf>
    <xf numFmtId="166" fontId="7" fillId="0" borderId="0" xfId="3" applyNumberFormat="1" applyFont="1" applyAlignment="1">
      <alignment horizontal="right" vertical="top" wrapText="1"/>
    </xf>
    <xf numFmtId="0" fontId="4" fillId="0" borderId="0" xfId="3" applyFont="1" applyAlignment="1">
      <alignment vertical="top" wrapText="1"/>
    </xf>
    <xf numFmtId="169" fontId="7" fillId="0" borderId="0" xfId="3" applyNumberFormat="1" applyFont="1" applyAlignment="1">
      <alignment horizontal="right" vertical="top" wrapText="1"/>
    </xf>
    <xf numFmtId="0" fontId="4" fillId="0" borderId="0" xfId="3" applyFont="1" applyAlignment="1">
      <alignment horizontal="center" vertical="top" wrapText="1"/>
    </xf>
    <xf numFmtId="170" fontId="7" fillId="0" borderId="0" xfId="3" applyNumberFormat="1" applyFont="1" applyAlignment="1">
      <alignment horizontal="right" vertical="top" wrapText="1"/>
    </xf>
    <xf numFmtId="0" fontId="7" fillId="0" borderId="0" xfId="3" applyNumberFormat="1" applyFont="1" applyAlignment="1">
      <alignment horizontal="center" vertical="center"/>
    </xf>
    <xf numFmtId="166" fontId="10" fillId="0" borderId="1" xfId="3" applyNumberFormat="1" applyFont="1" applyBorder="1" applyAlignment="1">
      <alignment horizontal="right" vertical="top" wrapText="1"/>
    </xf>
    <xf numFmtId="166" fontId="13" fillId="0" borderId="1" xfId="3" applyNumberFormat="1" applyFont="1" applyBorder="1" applyAlignment="1">
      <alignment horizontal="right" vertical="top" wrapText="1"/>
    </xf>
    <xf numFmtId="168" fontId="7" fillId="0" borderId="0" xfId="3" applyNumberFormat="1" applyFont="1" applyAlignment="1">
      <alignment horizontal="right" vertical="top" wrapText="1"/>
    </xf>
    <xf numFmtId="167" fontId="7" fillId="0" borderId="0" xfId="3" applyNumberFormat="1" applyFont="1" applyAlignment="1">
      <alignment horizontal="right" vertical="top" wrapText="1"/>
    </xf>
    <xf numFmtId="171" fontId="7" fillId="0" borderId="0" xfId="3" applyNumberFormat="1" applyFont="1" applyAlignment="1">
      <alignment horizontal="right" vertical="top" wrapText="1"/>
    </xf>
    <xf numFmtId="0" fontId="4" fillId="0" borderId="0" xfId="3" applyFont="1" applyAlignment="1"/>
    <xf numFmtId="171" fontId="10" fillId="3" borderId="0" xfId="3" applyNumberFormat="1" applyFont="1" applyFill="1" applyAlignment="1">
      <alignment horizontal="right" wrapText="1"/>
    </xf>
    <xf numFmtId="166" fontId="14" fillId="0" borderId="0" xfId="3" applyNumberFormat="1" applyFont="1" applyAlignment="1">
      <alignment horizontal="right" vertical="top" wrapText="1"/>
    </xf>
    <xf numFmtId="166" fontId="13" fillId="0" borderId="0" xfId="3" applyNumberFormat="1" applyFont="1" applyAlignment="1">
      <alignment horizontal="right" vertical="top" wrapText="1"/>
    </xf>
    <xf numFmtId="172" fontId="7" fillId="0" borderId="0" xfId="3" applyNumberFormat="1" applyFont="1" applyAlignment="1">
      <alignment horizontal="right" vertical="top" wrapText="1"/>
    </xf>
    <xf numFmtId="0" fontId="7" fillId="0" borderId="0" xfId="3" applyNumberFormat="1" applyFont="1" applyAlignment="1">
      <alignment horizontal="center" vertical="center" wrapText="1"/>
    </xf>
    <xf numFmtId="0" fontId="15" fillId="0" borderId="0" xfId="0" applyFont="1"/>
    <xf numFmtId="173" fontId="0" fillId="0" borderId="0" xfId="0" applyNumberFormat="1"/>
    <xf numFmtId="174" fontId="0" fillId="0" borderId="0" xfId="1" applyNumberFormat="1" applyFont="1"/>
    <xf numFmtId="167" fontId="17" fillId="0" borderId="0" xfId="0" applyNumberFormat="1" applyFont="1" applyAlignment="1">
      <alignment horizontal="right" vertical="top" wrapText="1"/>
    </xf>
    <xf numFmtId="175" fontId="17" fillId="0" borderId="0" xfId="0" applyNumberFormat="1" applyFont="1" applyAlignment="1">
      <alignment horizontal="right" vertical="top" wrapText="1"/>
    </xf>
    <xf numFmtId="170" fontId="17" fillId="0" borderId="0" xfId="0" applyNumberFormat="1" applyFont="1" applyAlignment="1">
      <alignment horizontal="right" vertical="top" wrapText="1"/>
    </xf>
    <xf numFmtId="176" fontId="17" fillId="0" borderId="0" xfId="0" applyNumberFormat="1" applyFont="1" applyAlignment="1">
      <alignment horizontal="right" vertical="top" wrapText="1"/>
    </xf>
    <xf numFmtId="167" fontId="17" fillId="0" borderId="0" xfId="0" applyNumberFormat="1" applyFont="1" applyAlignment="1">
      <alignment horizontal="right" vertical="top"/>
    </xf>
    <xf numFmtId="0" fontId="0" fillId="0" borderId="0" xfId="0" applyAlignment="1">
      <alignment wrapText="1"/>
    </xf>
    <xf numFmtId="0" fontId="15" fillId="0" borderId="0" xfId="0" applyFont="1" applyBorder="1"/>
    <xf numFmtId="0" fontId="0" fillId="0" borderId="0" xfId="0" applyBorder="1"/>
    <xf numFmtId="0" fontId="15" fillId="0" borderId="0" xfId="0" applyFont="1" applyBorder="1" applyAlignment="1">
      <alignment wrapText="1"/>
    </xf>
    <xf numFmtId="0" fontId="0" fillId="4" borderId="0" xfId="0" applyFill="1"/>
    <xf numFmtId="174" fontId="0" fillId="4" borderId="0" xfId="1" applyNumberFormat="1" applyFont="1" applyFill="1"/>
    <xf numFmtId="173" fontId="0" fillId="4" borderId="0" xfId="0" applyNumberFormat="1" applyFill="1"/>
    <xf numFmtId="167" fontId="17" fillId="4" borderId="0" xfId="0" applyNumberFormat="1" applyFont="1" applyFill="1" applyAlignment="1">
      <alignment horizontal="right" vertical="top"/>
    </xf>
    <xf numFmtId="167" fontId="17" fillId="4" borderId="0" xfId="0" applyNumberFormat="1" applyFont="1" applyFill="1" applyAlignment="1">
      <alignment horizontal="right" vertical="top" wrapText="1"/>
    </xf>
    <xf numFmtId="175" fontId="17" fillId="4" borderId="0" xfId="0" applyNumberFormat="1" applyFont="1" applyFill="1" applyAlignment="1">
      <alignment horizontal="right" vertical="top" wrapText="1"/>
    </xf>
    <xf numFmtId="170" fontId="17" fillId="4" borderId="0" xfId="0" applyNumberFormat="1" applyFont="1" applyFill="1" applyAlignment="1">
      <alignment horizontal="right" vertical="top" wrapText="1"/>
    </xf>
    <xf numFmtId="176" fontId="17" fillId="4" borderId="0" xfId="0" applyNumberFormat="1" applyFont="1" applyFill="1" applyAlignment="1">
      <alignment horizontal="right" vertical="top" wrapText="1"/>
    </xf>
    <xf numFmtId="0" fontId="15" fillId="0" borderId="2" xfId="0" applyFont="1" applyBorder="1"/>
    <xf numFmtId="0" fontId="0" fillId="0" borderId="2" xfId="0" applyBorder="1"/>
    <xf numFmtId="0" fontId="15" fillId="0" borderId="2" xfId="0" applyFont="1" applyBorder="1" applyAlignment="1">
      <alignment horizontal="right" wrapText="1"/>
    </xf>
    <xf numFmtId="173" fontId="15" fillId="0" borderId="0" xfId="0" applyNumberFormat="1" applyFont="1"/>
    <xf numFmtId="167" fontId="18" fillId="0" borderId="0" xfId="0" applyNumberFormat="1" applyFont="1" applyAlignment="1">
      <alignment horizontal="right" vertical="top"/>
    </xf>
    <xf numFmtId="167" fontId="18" fillId="0" borderId="0" xfId="0" applyNumberFormat="1" applyFont="1" applyAlignment="1">
      <alignment horizontal="right" vertical="top" wrapText="1"/>
    </xf>
    <xf numFmtId="175" fontId="18" fillId="0" borderId="0" xfId="0" applyNumberFormat="1" applyFont="1" applyAlignment="1">
      <alignment horizontal="right" vertical="top" wrapText="1"/>
    </xf>
    <xf numFmtId="170" fontId="18" fillId="0" borderId="0" xfId="0" applyNumberFormat="1" applyFont="1" applyAlignment="1">
      <alignment horizontal="right" vertical="top" wrapText="1"/>
    </xf>
    <xf numFmtId="176" fontId="18" fillId="0" borderId="0" xfId="0" applyNumberFormat="1" applyFont="1" applyAlignment="1">
      <alignment horizontal="right" vertical="top" wrapText="1"/>
    </xf>
    <xf numFmtId="0" fontId="19" fillId="0" borderId="0" xfId="0" applyFont="1"/>
    <xf numFmtId="0" fontId="15" fillId="0" borderId="3" xfId="0" applyFont="1" applyBorder="1"/>
    <xf numFmtId="0" fontId="0" fillId="0" borderId="3" xfId="0" applyBorder="1"/>
    <xf numFmtId="0" fontId="20" fillId="0" borderId="0" xfId="0" applyFont="1"/>
    <xf numFmtId="0" fontId="21" fillId="0" borderId="0" xfId="0" applyFont="1" applyAlignment="1">
      <alignment horizontal="centerContinuous"/>
    </xf>
    <xf numFmtId="177" fontId="19" fillId="0" borderId="0" xfId="2" applyNumberFormat="1" applyFont="1"/>
    <xf numFmtId="0" fontId="15" fillId="0" borderId="3" xfId="0" applyFont="1" applyBorder="1" applyAlignment="1">
      <alignment horizontal="center"/>
    </xf>
    <xf numFmtId="178" fontId="15" fillId="0" borderId="0" xfId="0" applyNumberFormat="1" applyFont="1"/>
    <xf numFmtId="178" fontId="0" fillId="0" borderId="0" xfId="0" applyNumberFormat="1"/>
    <xf numFmtId="174" fontId="15" fillId="0" borderId="0" xfId="1" applyNumberFormat="1" applyFont="1"/>
    <xf numFmtId="177" fontId="22" fillId="0" borderId="0" xfId="0" applyNumberFormat="1" applyFont="1"/>
    <xf numFmtId="14" fontId="20" fillId="0" borderId="0" xfId="0" applyNumberFormat="1" applyFont="1"/>
    <xf numFmtId="0" fontId="23" fillId="0" borderId="0" xfId="0" applyFont="1"/>
    <xf numFmtId="0" fontId="20" fillId="0" borderId="2" xfId="0" applyFont="1" applyBorder="1"/>
    <xf numFmtId="0" fontId="0" fillId="5" borderId="0" xfId="0" applyFill="1"/>
    <xf numFmtId="9" fontId="22" fillId="0" borderId="0" xfId="2" applyFont="1"/>
    <xf numFmtId="9" fontId="19" fillId="5" borderId="0" xfId="2" applyFont="1" applyFill="1"/>
    <xf numFmtId="177" fontId="19" fillId="0" borderId="0" xfId="0" applyNumberFormat="1" applyFont="1"/>
    <xf numFmtId="0" fontId="0" fillId="0" borderId="0" xfId="0" applyAlignment="1">
      <alignment horizontal="left" indent="1"/>
    </xf>
    <xf numFmtId="9" fontId="22" fillId="0" borderId="0" xfId="0" applyNumberFormat="1" applyFont="1"/>
    <xf numFmtId="0" fontId="15" fillId="0" borderId="4" xfId="0" applyFont="1" applyBorder="1"/>
    <xf numFmtId="9" fontId="15" fillId="0" borderId="5" xfId="2" applyFont="1" applyBorder="1" applyAlignment="1">
      <alignment horizontal="left"/>
    </xf>
    <xf numFmtId="9" fontId="0" fillId="0" borderId="5" xfId="2" applyFont="1" applyBorder="1"/>
    <xf numFmtId="174" fontId="0" fillId="0" borderId="0" xfId="0" applyNumberFormat="1"/>
    <xf numFmtId="178" fontId="24" fillId="0" borderId="0" xfId="0" applyNumberFormat="1" applyFont="1"/>
    <xf numFmtId="174" fontId="24" fillId="0" borderId="0" xfId="1" applyNumberFormat="1" applyFont="1"/>
    <xf numFmtId="0" fontId="24" fillId="0" borderId="0" xfId="0" applyFont="1"/>
    <xf numFmtId="9" fontId="4" fillId="0" borderId="0" xfId="3" applyNumberFormat="1" applyFont="1"/>
    <xf numFmtId="43" fontId="4" fillId="0" borderId="0" xfId="3" applyNumberFormat="1" applyFont="1"/>
    <xf numFmtId="166" fontId="4" fillId="0" borderId="0" xfId="3" applyNumberFormat="1" applyFont="1"/>
    <xf numFmtId="0" fontId="25" fillId="0" borderId="0" xfId="3" applyFont="1"/>
    <xf numFmtId="9" fontId="4" fillId="0" borderId="0" xfId="2" applyFont="1"/>
    <xf numFmtId="0" fontId="26" fillId="0" borderId="0" xfId="3" applyFont="1"/>
    <xf numFmtId="177" fontId="28" fillId="0" borderId="0" xfId="2" applyNumberFormat="1" applyFont="1"/>
    <xf numFmtId="178" fontId="4" fillId="0" borderId="0" xfId="3" applyNumberFormat="1" applyFont="1"/>
    <xf numFmtId="0" fontId="4" fillId="0" borderId="3" xfId="3" applyFont="1" applyBorder="1"/>
    <xf numFmtId="178" fontId="26" fillId="0" borderId="5" xfId="3" applyNumberFormat="1" applyFont="1" applyBorder="1"/>
    <xf numFmtId="174" fontId="4" fillId="0" borderId="0" xfId="1" applyNumberFormat="1" applyFont="1"/>
    <xf numFmtId="0" fontId="26" fillId="0" borderId="3" xfId="3" applyFont="1" applyBorder="1" applyAlignment="1">
      <alignment horizontal="right"/>
    </xf>
    <xf numFmtId="0" fontId="30" fillId="0" borderId="0" xfId="5" applyNumberFormat="1" applyFont="1" applyAlignment="1"/>
    <xf numFmtId="0" fontId="25" fillId="0" borderId="0" xfId="5" applyFont="1"/>
    <xf numFmtId="0" fontId="27" fillId="0" borderId="0" xfId="5" applyFont="1" applyAlignment="1">
      <alignment wrapText="1"/>
    </xf>
    <xf numFmtId="0" fontId="26" fillId="0" borderId="0" xfId="5" applyFont="1"/>
    <xf numFmtId="0" fontId="16" fillId="0" borderId="0" xfId="5" applyNumberFormat="1" applyFont="1" applyAlignment="1">
      <alignment horizontal="left" vertical="top"/>
    </xf>
    <xf numFmtId="49" fontId="25" fillId="0" borderId="0" xfId="5" applyNumberFormat="1" applyFont="1"/>
    <xf numFmtId="0" fontId="16" fillId="0" borderId="0" xfId="5" applyNumberFormat="1" applyFont="1" applyAlignment="1">
      <alignment horizontal="left" vertical="center"/>
    </xf>
    <xf numFmtId="0" fontId="31" fillId="2" borderId="0" xfId="5" applyFont="1" applyFill="1" applyAlignment="1"/>
    <xf numFmtId="0" fontId="32" fillId="0" borderId="0" xfId="6" applyFont="1" applyAlignment="1"/>
    <xf numFmtId="0" fontId="33" fillId="3" borderId="0" xfId="5" applyFont="1" applyFill="1" applyAlignment="1">
      <alignment wrapText="1"/>
    </xf>
    <xf numFmtId="0" fontId="33" fillId="3" borderId="0" xfId="5" applyFont="1" applyFill="1" applyAlignment="1">
      <alignment horizontal="right" wrapText="1"/>
    </xf>
    <xf numFmtId="0" fontId="34" fillId="3" borderId="0" xfId="5" applyFont="1" applyFill="1" applyAlignment="1">
      <alignment wrapText="1"/>
    </xf>
    <xf numFmtId="0" fontId="34" fillId="3" borderId="0" xfId="5" applyFont="1" applyFill="1" applyAlignment="1">
      <alignment horizontal="right" wrapText="1"/>
    </xf>
    <xf numFmtId="0" fontId="33" fillId="0" borderId="0" xfId="5" applyFont="1" applyAlignment="1">
      <alignment horizontal="left" vertical="top"/>
    </xf>
    <xf numFmtId="0" fontId="16" fillId="0" borderId="0" xfId="5" applyFont="1" applyAlignment="1">
      <alignment horizontal="left" vertical="top"/>
    </xf>
    <xf numFmtId="166" fontId="33" fillId="0" borderId="0" xfId="5" applyNumberFormat="1" applyFont="1" applyAlignment="1">
      <alignment horizontal="right" vertical="top" wrapText="1"/>
    </xf>
    <xf numFmtId="0" fontId="35" fillId="0" borderId="0" xfId="5" applyFont="1" applyAlignment="1">
      <alignment horizontal="left" vertical="top"/>
    </xf>
    <xf numFmtId="167" fontId="35" fillId="0" borderId="0" xfId="5" applyNumberFormat="1" applyFont="1" applyAlignment="1">
      <alignment horizontal="right" vertical="top" wrapText="1"/>
    </xf>
    <xf numFmtId="168" fontId="33" fillId="0" borderId="0" xfId="5" applyNumberFormat="1" applyFont="1" applyAlignment="1">
      <alignment horizontal="right" vertical="top" wrapText="1"/>
    </xf>
    <xf numFmtId="49" fontId="16" fillId="0" borderId="0" xfId="5" applyNumberFormat="1" applyFont="1" applyAlignment="1">
      <alignment horizontal="right" vertical="top" wrapText="1"/>
    </xf>
    <xf numFmtId="0" fontId="25" fillId="0" borderId="0" xfId="5" applyFont="1" applyAlignment="1">
      <alignment vertical="top" wrapText="1"/>
    </xf>
    <xf numFmtId="168" fontId="16" fillId="0" borderId="0" xfId="5" applyNumberFormat="1" applyFont="1" applyAlignment="1">
      <alignment horizontal="right" vertical="top" wrapText="1"/>
    </xf>
    <xf numFmtId="166" fontId="16" fillId="0" borderId="0" xfId="5" applyNumberFormat="1" applyFont="1" applyAlignment="1">
      <alignment horizontal="right" vertical="top" wrapText="1"/>
    </xf>
    <xf numFmtId="0" fontId="25" fillId="0" borderId="0" xfId="5" applyFont="1" applyAlignment="1">
      <alignment horizontal="center" vertical="top" wrapText="1"/>
    </xf>
    <xf numFmtId="170" fontId="16" fillId="0" borderId="0" xfId="5" applyNumberFormat="1" applyFont="1" applyAlignment="1">
      <alignment horizontal="right" vertical="top" wrapText="1"/>
    </xf>
    <xf numFmtId="0" fontId="16" fillId="0" borderId="0" xfId="5" applyNumberFormat="1" applyFont="1" applyAlignment="1">
      <alignment horizontal="center" vertical="center"/>
    </xf>
    <xf numFmtId="166" fontId="33" fillId="0" borderId="1" xfId="5" applyNumberFormat="1" applyFont="1" applyBorder="1" applyAlignment="1">
      <alignment horizontal="right" vertical="top" wrapText="1"/>
    </xf>
    <xf numFmtId="166" fontId="36" fillId="0" borderId="1" xfId="5" applyNumberFormat="1" applyFont="1" applyBorder="1" applyAlignment="1">
      <alignment horizontal="right" vertical="top" wrapText="1"/>
    </xf>
    <xf numFmtId="167" fontId="16" fillId="0" borderId="0" xfId="5" applyNumberFormat="1" applyFont="1" applyAlignment="1">
      <alignment horizontal="right" vertical="top" wrapText="1"/>
    </xf>
    <xf numFmtId="179" fontId="16" fillId="0" borderId="0" xfId="5" applyNumberFormat="1" applyFont="1" applyAlignment="1">
      <alignment horizontal="right" vertical="top" wrapText="1"/>
    </xf>
    <xf numFmtId="171" fontId="16" fillId="0" borderId="0" xfId="5" applyNumberFormat="1" applyFont="1" applyAlignment="1">
      <alignment horizontal="right" vertical="top" wrapText="1"/>
    </xf>
    <xf numFmtId="0" fontId="25" fillId="0" borderId="0" xfId="5" applyFont="1" applyAlignment="1"/>
    <xf numFmtId="171" fontId="33" fillId="3" borderId="0" xfId="5" applyNumberFormat="1" applyFont="1" applyFill="1" applyAlignment="1">
      <alignment horizontal="right" wrapText="1"/>
    </xf>
    <xf numFmtId="166" fontId="37" fillId="0" borderId="0" xfId="5" applyNumberFormat="1" applyFont="1" applyAlignment="1">
      <alignment horizontal="right" vertical="top" wrapText="1"/>
    </xf>
    <xf numFmtId="166" fontId="36" fillId="0" borderId="0" xfId="5" applyNumberFormat="1" applyFont="1" applyAlignment="1">
      <alignment horizontal="right" vertical="top" wrapText="1"/>
    </xf>
    <xf numFmtId="172" fontId="16" fillId="0" borderId="0" xfId="5" applyNumberFormat="1" applyFont="1" applyAlignment="1">
      <alignment horizontal="right" vertical="top" wrapText="1"/>
    </xf>
    <xf numFmtId="0" fontId="16" fillId="0" borderId="0" xfId="5" applyNumberFormat="1" applyFont="1" applyAlignment="1">
      <alignment horizontal="center" vertical="center" wrapText="1"/>
    </xf>
    <xf numFmtId="177" fontId="16" fillId="0" borderId="0" xfId="2" applyNumberFormat="1" applyFont="1" applyAlignment="1">
      <alignment horizontal="right" vertical="top" wrapText="1"/>
    </xf>
    <xf numFmtId="177" fontId="35" fillId="0" borderId="0" xfId="2" applyNumberFormat="1" applyFont="1" applyAlignment="1">
      <alignment horizontal="right" vertical="top" wrapText="1"/>
    </xf>
    <xf numFmtId="0" fontId="15" fillId="0" borderId="5" xfId="0" applyFont="1" applyBorder="1"/>
    <xf numFmtId="43" fontId="7" fillId="0" borderId="0" xfId="3" applyNumberFormat="1" applyFont="1" applyAlignment="1">
      <alignment horizontal="left" vertical="top"/>
    </xf>
    <xf numFmtId="43" fontId="16" fillId="0" borderId="0" xfId="5" applyNumberFormat="1" applyFont="1" applyAlignment="1">
      <alignment horizontal="left" vertical="top"/>
    </xf>
    <xf numFmtId="166" fontId="10" fillId="0" borderId="0" xfId="3" applyNumberFormat="1" applyFont="1" applyBorder="1" applyAlignment="1">
      <alignment horizontal="right" vertical="top" wrapText="1"/>
    </xf>
    <xf numFmtId="177" fontId="7" fillId="0" borderId="0" xfId="2" applyNumberFormat="1" applyFont="1" applyAlignment="1">
      <alignment horizontal="right" vertical="top"/>
    </xf>
    <xf numFmtId="0" fontId="4" fillId="0" borderId="0" xfId="3" applyNumberFormat="1" applyFont="1"/>
    <xf numFmtId="0" fontId="25" fillId="0" borderId="0" xfId="3" applyFont="1" applyAlignment="1">
      <alignment horizontal="left" indent="1"/>
    </xf>
    <xf numFmtId="177" fontId="27" fillId="0" borderId="0" xfId="2" applyNumberFormat="1" applyFont="1"/>
    <xf numFmtId="0" fontId="15" fillId="0" borderId="0" xfId="0" applyFont="1" applyAlignment="1">
      <alignment horizontal="center"/>
    </xf>
    <xf numFmtId="0" fontId="15" fillId="0" borderId="4" xfId="0" applyFont="1" applyBorder="1" applyAlignment="1">
      <alignment horizontal="center"/>
    </xf>
    <xf numFmtId="181" fontId="38" fillId="0" borderId="0" xfId="0" applyNumberFormat="1" applyFont="1" applyBorder="1"/>
    <xf numFmtId="0" fontId="39" fillId="0" borderId="4" xfId="0" applyFont="1" applyBorder="1" applyAlignment="1">
      <alignment horizontal="center"/>
    </xf>
    <xf numFmtId="0" fontId="0" fillId="0" borderId="5" xfId="0" applyBorder="1"/>
    <xf numFmtId="180" fontId="0" fillId="0" borderId="0" xfId="0" applyNumberFormat="1"/>
    <xf numFmtId="43" fontId="0" fillId="0" borderId="0" xfId="1" applyFont="1"/>
    <xf numFmtId="182" fontId="0" fillId="0" borderId="0" xfId="1" applyNumberFormat="1" applyFont="1"/>
    <xf numFmtId="178" fontId="15" fillId="0" borderId="5" xfId="0" applyNumberFormat="1" applyFont="1" applyBorder="1"/>
    <xf numFmtId="182" fontId="20" fillId="0" borderId="0" xfId="1" applyNumberFormat="1" applyFont="1"/>
    <xf numFmtId="174" fontId="20" fillId="0" borderId="0" xfId="1" applyNumberFormat="1" applyFont="1"/>
    <xf numFmtId="182" fontId="15" fillId="0" borderId="5" xfId="1" applyNumberFormat="1" applyFont="1" applyBorder="1"/>
    <xf numFmtId="0" fontId="0" fillId="0" borderId="0" xfId="0" applyFill="1" applyBorder="1"/>
    <xf numFmtId="0" fontId="15" fillId="0" borderId="5" xfId="0" applyFont="1" applyFill="1" applyBorder="1"/>
    <xf numFmtId="0" fontId="19" fillId="0" borderId="0" xfId="0" applyFont="1" applyAlignment="1">
      <alignment horizontal="left" indent="1"/>
    </xf>
    <xf numFmtId="0" fontId="39" fillId="0" borderId="0" xfId="0" applyFont="1"/>
    <xf numFmtId="0" fontId="40" fillId="0" borderId="0" xfId="0" applyFont="1" applyAlignment="1">
      <alignment horizontal="centerContinuous"/>
    </xf>
    <xf numFmtId="178" fontId="20" fillId="0" borderId="0" xfId="0" applyNumberFormat="1" applyFont="1" applyAlignment="1">
      <alignment horizontal="center"/>
    </xf>
    <xf numFmtId="173" fontId="20" fillId="0" borderId="0" xfId="0" applyNumberFormat="1" applyFont="1" applyAlignment="1">
      <alignment horizontal="center"/>
    </xf>
    <xf numFmtId="0" fontId="0" fillId="5" borderId="0" xfId="0" applyFill="1" applyAlignment="1">
      <alignment horizontal="center"/>
    </xf>
    <xf numFmtId="178" fontId="0" fillId="5" borderId="0" xfId="0" applyNumberFormat="1" applyFill="1" applyAlignment="1">
      <alignment horizontal="center"/>
    </xf>
    <xf numFmtId="173" fontId="15" fillId="5" borderId="0" xfId="0" applyNumberFormat="1" applyFont="1" applyFill="1" applyAlignment="1">
      <alignment horizontal="center"/>
    </xf>
    <xf numFmtId="183" fontId="41" fillId="0" borderId="0" xfId="0" applyNumberFormat="1" applyFont="1" applyBorder="1" applyAlignment="1">
      <alignment horizontal="center"/>
    </xf>
    <xf numFmtId="183" fontId="41" fillId="0" borderId="0" xfId="0" applyNumberFormat="1" applyFont="1" applyAlignment="1">
      <alignment horizontal="center"/>
    </xf>
    <xf numFmtId="10" fontId="41" fillId="0" borderId="0" xfId="2" applyNumberFormat="1" applyFont="1" applyAlignment="1">
      <alignment horizontal="center"/>
    </xf>
    <xf numFmtId="10" fontId="15" fillId="5" borderId="0" xfId="2" applyNumberFormat="1" applyFont="1" applyFill="1" applyAlignment="1">
      <alignment horizontal="center"/>
    </xf>
    <xf numFmtId="183" fontId="15" fillId="5" borderId="0" xfId="0" applyNumberFormat="1" applyFont="1" applyFill="1" applyAlignment="1">
      <alignment horizontal="center"/>
    </xf>
    <xf numFmtId="183" fontId="0" fillId="0" borderId="0" xfId="0" applyNumberFormat="1"/>
    <xf numFmtId="184" fontId="20" fillId="0" borderId="0" xfId="0" applyNumberFormat="1" applyFont="1" applyAlignment="1">
      <alignment horizontal="center"/>
    </xf>
    <xf numFmtId="14" fontId="0" fillId="0" borderId="0" xfId="0" applyNumberFormat="1"/>
    <xf numFmtId="9" fontId="22" fillId="0" borderId="0" xfId="0" applyNumberFormat="1" applyFont="1" applyAlignment="1">
      <alignment horizontal="center"/>
    </xf>
    <xf numFmtId="185" fontId="38" fillId="0" borderId="0" xfId="0" applyNumberFormat="1" applyFont="1"/>
    <xf numFmtId="186" fontId="38" fillId="0" borderId="0" xfId="0" applyNumberFormat="1" applyFont="1"/>
    <xf numFmtId="178" fontId="0" fillId="0" borderId="5" xfId="0" applyNumberFormat="1" applyBorder="1"/>
    <xf numFmtId="173" fontId="19" fillId="0" borderId="0" xfId="0" applyNumberFormat="1" applyFont="1"/>
    <xf numFmtId="173" fontId="15" fillId="0" borderId="5" xfId="0" applyNumberFormat="1" applyFont="1" applyBorder="1"/>
    <xf numFmtId="178" fontId="0" fillId="0" borderId="0" xfId="0" applyNumberFormat="1" applyAlignment="1">
      <alignment horizontal="right"/>
    </xf>
    <xf numFmtId="174" fontId="0" fillId="0" borderId="0" xfId="1" applyNumberFormat="1" applyFont="1" applyAlignment="1">
      <alignment horizontal="right"/>
    </xf>
    <xf numFmtId="0" fontId="0" fillId="0" borderId="0" xfId="0" applyAlignment="1">
      <alignment horizontal="right"/>
    </xf>
    <xf numFmtId="174" fontId="38" fillId="0" borderId="0" xfId="1" applyNumberFormat="1" applyFont="1" applyBorder="1" applyAlignment="1">
      <alignment horizontal="right"/>
    </xf>
    <xf numFmtId="178" fontId="15" fillId="0" borderId="5" xfId="0" applyNumberFormat="1" applyFont="1" applyBorder="1" applyAlignment="1">
      <alignment horizontal="right"/>
    </xf>
    <xf numFmtId="178" fontId="24" fillId="0" borderId="0" xfId="0" applyNumberFormat="1" applyFont="1" applyAlignment="1">
      <alignment horizontal="right"/>
    </xf>
    <xf numFmtId="174" fontId="0" fillId="0" borderId="0" xfId="0" applyNumberFormat="1" applyAlignment="1">
      <alignment horizontal="right"/>
    </xf>
    <xf numFmtId="177" fontId="22" fillId="0" borderId="0" xfId="0" applyNumberFormat="1" applyFont="1" applyAlignment="1">
      <alignment horizontal="center"/>
    </xf>
    <xf numFmtId="173" fontId="0" fillId="0" borderId="0" xfId="0" applyNumberFormat="1" applyAlignment="1">
      <alignment horizontal="right"/>
    </xf>
    <xf numFmtId="9" fontId="19" fillId="0" borderId="0" xfId="2" applyFont="1" applyAlignment="1">
      <alignment horizontal="right"/>
    </xf>
    <xf numFmtId="173" fontId="15" fillId="0" borderId="5" xfId="0" applyNumberFormat="1" applyFont="1" applyBorder="1" applyAlignment="1">
      <alignment horizontal="right"/>
    </xf>
    <xf numFmtId="9" fontId="42" fillId="0" borderId="5" xfId="0" applyNumberFormat="1" applyFont="1" applyBorder="1" applyAlignment="1">
      <alignment horizontal="right"/>
    </xf>
    <xf numFmtId="178" fontId="38" fillId="0" borderId="0" xfId="0" applyNumberFormat="1" applyFont="1"/>
    <xf numFmtId="0" fontId="0" fillId="0" borderId="6" xfId="0" applyBorder="1"/>
    <xf numFmtId="0" fontId="19" fillId="0" borderId="6" xfId="0" applyFont="1" applyBorder="1"/>
    <xf numFmtId="9" fontId="19" fillId="0" borderId="6" xfId="2" applyFont="1" applyBorder="1"/>
    <xf numFmtId="0" fontId="43" fillId="0" borderId="0" xfId="0" applyFont="1" applyFill="1" applyBorder="1"/>
    <xf numFmtId="0" fontId="19" fillId="0" borderId="7" xfId="0" applyFont="1" applyFill="1" applyBorder="1"/>
    <xf numFmtId="0" fontId="44" fillId="0" borderId="0" xfId="0" applyFont="1" applyBorder="1"/>
    <xf numFmtId="9" fontId="22" fillId="6" borderId="2" xfId="0" applyNumberFormat="1" applyFont="1" applyFill="1" applyBorder="1" applyAlignment="1">
      <alignment horizontal="center"/>
    </xf>
    <xf numFmtId="178" fontId="0" fillId="0" borderId="0" xfId="7" applyNumberFormat="1" applyFont="1"/>
    <xf numFmtId="187" fontId="22" fillId="0" borderId="0" xfId="0" applyNumberFormat="1" applyFont="1" applyBorder="1"/>
    <xf numFmtId="10" fontId="0" fillId="0" borderId="0" xfId="0" applyNumberFormat="1"/>
    <xf numFmtId="188" fontId="0" fillId="0" borderId="0" xfId="0" applyNumberFormat="1"/>
    <xf numFmtId="188" fontId="0" fillId="0" borderId="5" xfId="0" applyNumberFormat="1" applyBorder="1"/>
    <xf numFmtId="189" fontId="0" fillId="0" borderId="0" xfId="0" applyNumberFormat="1"/>
    <xf numFmtId="10" fontId="0" fillId="0" borderId="0" xfId="2" applyNumberFormat="1" applyFont="1"/>
    <xf numFmtId="0" fontId="0" fillId="0" borderId="0" xfId="0" quotePrefix="1" applyAlignment="1">
      <alignment horizontal="left" indent="1"/>
    </xf>
    <xf numFmtId="188" fontId="15" fillId="0" borderId="5" xfId="0" applyNumberFormat="1" applyFont="1" applyBorder="1"/>
    <xf numFmtId="185" fontId="0" fillId="0" borderId="0" xfId="0" applyNumberFormat="1"/>
    <xf numFmtId="0" fontId="19" fillId="0" borderId="0" xfId="0" quotePrefix="1" applyFont="1" applyAlignment="1">
      <alignment horizontal="left" indent="1"/>
    </xf>
    <xf numFmtId="164" fontId="15" fillId="0" borderId="5" xfId="0" applyNumberFormat="1" applyFont="1" applyBorder="1"/>
    <xf numFmtId="0" fontId="15" fillId="0" borderId="8" xfId="0" applyFont="1" applyBorder="1"/>
    <xf numFmtId="0" fontId="39" fillId="0" borderId="9" xfId="0" applyFont="1" applyBorder="1"/>
    <xf numFmtId="187" fontId="19" fillId="0" borderId="9" xfId="0" applyNumberFormat="1" applyFont="1" applyBorder="1"/>
    <xf numFmtId="187" fontId="19" fillId="0" borderId="10" xfId="0" applyNumberFormat="1" applyFont="1" applyBorder="1"/>
    <xf numFmtId="0" fontId="15" fillId="0" borderId="11" xfId="0" applyFont="1" applyBorder="1"/>
    <xf numFmtId="0" fontId="39" fillId="0" borderId="12" xfId="0" applyFont="1" applyBorder="1"/>
    <xf numFmtId="187" fontId="19" fillId="0" borderId="12" xfId="0" applyNumberFormat="1" applyFont="1" applyBorder="1"/>
    <xf numFmtId="187" fontId="19" fillId="0" borderId="13" xfId="0" applyNumberFormat="1" applyFont="1" applyBorder="1"/>
    <xf numFmtId="187" fontId="19" fillId="0" borderId="7" xfId="0" applyNumberFormat="1" applyFont="1" applyFill="1" applyBorder="1"/>
    <xf numFmtId="177" fontId="22" fillId="6" borderId="2" xfId="0" applyNumberFormat="1" applyFont="1" applyFill="1" applyBorder="1" applyAlignment="1">
      <alignment horizontal="center"/>
    </xf>
    <xf numFmtId="178" fontId="45" fillId="0" borderId="0" xfId="0" applyNumberFormat="1" applyFont="1"/>
    <xf numFmtId="0" fontId="15" fillId="0" borderId="0" xfId="0" applyFont="1" applyAlignment="1">
      <alignment horizontal="left" indent="1"/>
    </xf>
    <xf numFmtId="173" fontId="15" fillId="0" borderId="0" xfId="0" applyNumberFormat="1" applyFont="1" applyBorder="1"/>
    <xf numFmtId="0" fontId="0" fillId="0" borderId="14" xfId="0" applyBorder="1"/>
    <xf numFmtId="0" fontId="20" fillId="0" borderId="14" xfId="0" applyFont="1" applyBorder="1"/>
    <xf numFmtId="0" fontId="0" fillId="0" borderId="14" xfId="0" applyBorder="1" applyAlignment="1">
      <alignment horizontal="center"/>
    </xf>
    <xf numFmtId="0" fontId="45" fillId="0" borderId="14" xfId="0" applyFont="1" applyBorder="1" applyAlignment="1">
      <alignment horizontal="center"/>
    </xf>
    <xf numFmtId="0" fontId="19" fillId="0" borderId="14" xfId="0" applyFont="1" applyBorder="1"/>
    <xf numFmtId="177" fontId="15" fillId="0" borderId="5" xfId="2" applyNumberFormat="1" applyFont="1" applyBorder="1"/>
    <xf numFmtId="9" fontId="7" fillId="0" borderId="0" xfId="2" applyFont="1" applyAlignment="1">
      <alignment horizontal="right" vertical="top"/>
    </xf>
    <xf numFmtId="0" fontId="7" fillId="0" borderId="0" xfId="3" applyFont="1" applyAlignment="1">
      <alignment horizontal="right" vertical="top"/>
    </xf>
    <xf numFmtId="0" fontId="7" fillId="0" borderId="0" xfId="2" applyNumberFormat="1" applyFont="1" applyAlignment="1">
      <alignment horizontal="right" vertical="top"/>
    </xf>
  </cellXfs>
  <cellStyles count="8">
    <cellStyle name="Comma" xfId="1" builtinId="3"/>
    <cellStyle name="Currency" xfId="7" builtinId="4"/>
    <cellStyle name="Invisible" xfId="4" xr:uid="{38990833-037C-4C26-AC8D-A0511A8A8D20}"/>
    <cellStyle name="Invisible 2" xfId="6" xr:uid="{E4B75421-C493-4E96-BFF6-7B4E41810F2F}"/>
    <cellStyle name="Normal" xfId="0" builtinId="0"/>
    <cellStyle name="Normal 2" xfId="3" xr:uid="{BA094A42-1B7E-4F28-A76B-EED89F054E4C}"/>
    <cellStyle name="Normal 3" xfId="5" xr:uid="{6A96A023-4007-4928-B1CE-229EB755D4F6}"/>
    <cellStyle name="Per 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A59C9AA8-5BE7-4BD8-8DB7-195F554E21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79</xdr:row>
      <xdr:rowOff>0</xdr:rowOff>
    </xdr:from>
    <xdr:to>
      <xdr:col>3</xdr:col>
      <xdr:colOff>581025</xdr:colOff>
      <xdr:row>79</xdr:row>
      <xdr:rowOff>1905000</xdr:rowOff>
    </xdr:to>
    <xdr:pic>
      <xdr:nvPicPr>
        <xdr:cNvPr id="3" name="Picture 3">
          <a:extLst>
            <a:ext uri="{FF2B5EF4-FFF2-40B4-BE49-F238E27FC236}">
              <a16:creationId xmlns:a16="http://schemas.microsoft.com/office/drawing/2014/main" id="{97D5C332-2F83-487C-B961-9DE43D3744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0629900"/>
          <a:ext cx="56007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51FB379F-EC74-45EA-8C4D-10FAECF8D3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9AAD78F0-5A66-4495-A3D3-785E9AAF6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99C98037-0F2D-4B00-B962-B8708BD98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0FE8EEDA-1D3D-45B6-B895-8AE611A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64</xdr:row>
      <xdr:rowOff>0</xdr:rowOff>
    </xdr:from>
    <xdr:to>
      <xdr:col>3</xdr:col>
      <xdr:colOff>581025</xdr:colOff>
      <xdr:row>64</xdr:row>
      <xdr:rowOff>1905000</xdr:rowOff>
    </xdr:to>
    <xdr:pic>
      <xdr:nvPicPr>
        <xdr:cNvPr id="3" name="Picture 3">
          <a:extLst>
            <a:ext uri="{FF2B5EF4-FFF2-40B4-BE49-F238E27FC236}">
              <a16:creationId xmlns:a16="http://schemas.microsoft.com/office/drawing/2014/main" id="{D819AF63-DC9B-4C1C-83EF-062F2B0F4C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0344150"/>
          <a:ext cx="56007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60711907-AB24-4DDE-A840-0240B5CF9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386EA3A8-6393-4C88-BBB7-99B0B5185A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E5428217-156E-4796-AA17-524037305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9215-4DE1-470B-BF3F-4725D78D93AF}">
  <dimension ref="A3:XEX116"/>
  <sheetViews>
    <sheetView showGridLines="0" tabSelected="1" zoomScale="119" zoomScaleNormal="100" zoomScaleSheetLayoutView="100" workbookViewId="0">
      <selection activeCell="I18" sqref="I18"/>
    </sheetView>
  </sheetViews>
  <sheetFormatPr baseColWidth="10" defaultColWidth="8.75" defaultRowHeight="12" x14ac:dyDescent="0.15"/>
  <cols>
    <col min="4" max="4" width="8.5" customWidth="1"/>
    <col min="5" max="6" width="9.25" customWidth="1"/>
    <col min="7" max="7" width="10" bestFit="1" customWidth="1"/>
    <col min="8" max="8" width="11.5" bestFit="1" customWidth="1"/>
    <col min="9" max="12" width="10.75" bestFit="1" customWidth="1"/>
    <col min="18" max="18" width="11" bestFit="1" customWidth="1"/>
    <col min="19" max="19" width="10" bestFit="1" customWidth="1"/>
    <col min="20" max="21" width="9.75" bestFit="1" customWidth="1"/>
    <col min="22" max="22" width="10" bestFit="1" customWidth="1"/>
    <col min="25" max="25" width="19.75" bestFit="1" customWidth="1"/>
    <col min="27" max="28" width="10.75" bestFit="1" customWidth="1"/>
    <col min="29" max="29" width="11.5" bestFit="1" customWidth="1"/>
    <col min="30" max="31" width="10.75" bestFit="1" customWidth="1"/>
    <col min="32" max="32" width="11" bestFit="1" customWidth="1"/>
  </cols>
  <sheetData>
    <row r="3" spans="2:31" x14ac:dyDescent="0.15">
      <c r="B3" s="86" t="s">
        <v>426</v>
      </c>
      <c r="C3" s="86"/>
      <c r="D3" s="86"/>
      <c r="E3" s="86"/>
      <c r="F3" s="86"/>
      <c r="G3" s="86"/>
      <c r="H3" s="86"/>
      <c r="I3" s="86"/>
      <c r="J3" s="153" t="s">
        <v>417</v>
      </c>
      <c r="K3" s="153" t="s">
        <v>418</v>
      </c>
      <c r="L3" s="153" t="s">
        <v>416</v>
      </c>
      <c r="N3" s="86" t="s">
        <v>430</v>
      </c>
      <c r="O3" s="86"/>
      <c r="P3" s="86"/>
      <c r="Q3" s="86"/>
    </row>
    <row r="4" spans="2:31" ht="13" thickBot="1" x14ac:dyDescent="0.2">
      <c r="B4" t="s">
        <v>287</v>
      </c>
      <c r="D4" s="69">
        <v>2020</v>
      </c>
      <c r="F4" t="str">
        <f ca="1">AG62&amp;"MM Revolver (undrawn)"</f>
        <v>600MM Revolver (undrawn)</v>
      </c>
      <c r="J4" s="195">
        <v>1.7999999999999999E-2</v>
      </c>
      <c r="K4" s="182">
        <v>0</v>
      </c>
      <c r="L4" s="180">
        <v>10</v>
      </c>
      <c r="N4" t="s">
        <v>431</v>
      </c>
      <c r="Q4">
        <v>930</v>
      </c>
      <c r="Y4" s="67" t="s">
        <v>296</v>
      </c>
      <c r="Z4" s="68"/>
      <c r="AA4" s="68"/>
      <c r="AB4" s="68"/>
      <c r="AC4" s="68"/>
    </row>
    <row r="5" spans="2:31" ht="13" thickTop="1" x14ac:dyDescent="0.15">
      <c r="B5" t="s">
        <v>414</v>
      </c>
      <c r="D5" s="89">
        <f>G43</f>
        <v>563.4</v>
      </c>
      <c r="F5" s="179" t="str">
        <f ca="1">TEXT(AF68,"0.00%")&amp;" "&amp;Y68&amp; " - due "&amp; YEAR($AC$8)+L5</f>
        <v>3.75% Term Loan A - due 2025</v>
      </c>
      <c r="J5" s="195">
        <v>0.02</v>
      </c>
      <c r="K5" s="182">
        <v>0.05</v>
      </c>
      <c r="L5" s="180">
        <v>5</v>
      </c>
      <c r="N5" t="s">
        <v>29</v>
      </c>
      <c r="Q5">
        <v>47</v>
      </c>
      <c r="Y5" t="s">
        <v>297</v>
      </c>
      <c r="AC5" s="77">
        <v>43465</v>
      </c>
    </row>
    <row r="6" spans="2:31" x14ac:dyDescent="0.15">
      <c r="B6" t="s">
        <v>424</v>
      </c>
      <c r="D6" s="183">
        <v>17</v>
      </c>
      <c r="F6" s="179" t="str">
        <f ca="1">TEXT(AF69,"0.00%")&amp;" "&amp;Y69&amp; " - due "&amp; YEAR($AC$8)+L6</f>
        <v>4.25% Term Loan B - due 2028</v>
      </c>
      <c r="J6" s="195">
        <v>1.7999999999999999E-2</v>
      </c>
      <c r="K6" s="182">
        <v>0.01</v>
      </c>
      <c r="L6" s="180">
        <v>8</v>
      </c>
      <c r="N6" s="144" t="s">
        <v>432</v>
      </c>
      <c r="O6" s="144"/>
      <c r="P6" s="144"/>
      <c r="Q6" s="187">
        <f>Q4/Q5</f>
        <v>19.787234042553191</v>
      </c>
      <c r="Y6" t="s">
        <v>298</v>
      </c>
      <c r="AC6" s="77">
        <v>43738</v>
      </c>
    </row>
    <row r="7" spans="2:31" x14ac:dyDescent="0.15">
      <c r="B7" t="s">
        <v>303</v>
      </c>
      <c r="D7" s="79">
        <v>1</v>
      </c>
      <c r="F7" s="179" t="str">
        <f ca="1">TEXT(AF70,"0.00%")&amp;" "&amp;Y70&amp; " - due "&amp; YEAR($AC$8)+L7</f>
        <v>3.95% Senior Unsecured Loan - due 2028</v>
      </c>
      <c r="J7" s="195">
        <v>2.3E-2</v>
      </c>
      <c r="K7" s="182">
        <v>0</v>
      </c>
      <c r="L7" s="180">
        <v>8</v>
      </c>
      <c r="Y7" t="s">
        <v>299</v>
      </c>
      <c r="AC7" s="77">
        <f ca="1">NOW()</f>
        <v>43830.934201851851</v>
      </c>
    </row>
    <row r="8" spans="2:31" x14ac:dyDescent="0.15">
      <c r="B8" t="s">
        <v>317</v>
      </c>
      <c r="D8" s="79">
        <v>2</v>
      </c>
      <c r="Y8" t="s">
        <v>300</v>
      </c>
      <c r="AC8" s="77">
        <v>44012</v>
      </c>
      <c r="AE8" s="181"/>
    </row>
    <row r="9" spans="2:31" x14ac:dyDescent="0.15">
      <c r="B9" t="s">
        <v>318</v>
      </c>
      <c r="D9" s="85">
        <v>0.21</v>
      </c>
      <c r="Y9" t="s">
        <v>301</v>
      </c>
      <c r="AC9">
        <f>ROUND(MONTH(AC6)-MONTH(AC5)+12*(YEAR(AC6)-YEAR(AC5)),0)</f>
        <v>9</v>
      </c>
    </row>
    <row r="10" spans="2:31" x14ac:dyDescent="0.15">
      <c r="B10" t="s">
        <v>422</v>
      </c>
      <c r="D10" s="200">
        <v>500</v>
      </c>
      <c r="Y10" t="s">
        <v>302</v>
      </c>
      <c r="AC10">
        <f>ROUND(MONTH(AC5)-MONTH(AC8),0)</f>
        <v>6</v>
      </c>
    </row>
    <row r="11" spans="2:31" x14ac:dyDescent="0.15">
      <c r="B11" t="s">
        <v>423</v>
      </c>
      <c r="D11" s="85">
        <v>7.0000000000000007E-2</v>
      </c>
    </row>
    <row r="12" spans="2:31" x14ac:dyDescent="0.15">
      <c r="AC12" s="181"/>
    </row>
    <row r="13" spans="2:31" x14ac:dyDescent="0.15">
      <c r="B13" t="s">
        <v>425</v>
      </c>
      <c r="D13" s="184">
        <v>0</v>
      </c>
    </row>
    <row r="18" spans="1:31" ht="21" x14ac:dyDescent="0.25">
      <c r="B18" s="204" t="s">
        <v>438</v>
      </c>
    </row>
    <row r="19" spans="1:31" ht="13" thickBot="1" x14ac:dyDescent="0.2">
      <c r="B19" s="205" t="s">
        <v>310</v>
      </c>
      <c r="C19" s="205"/>
      <c r="D19" s="205"/>
      <c r="E19" s="205"/>
      <c r="F19" s="205"/>
      <c r="G19" s="205"/>
      <c r="H19" s="205"/>
      <c r="I19" s="228">
        <f ca="1">V88</f>
        <v>0.35561420590292125</v>
      </c>
      <c r="J19" s="205"/>
      <c r="K19" s="205"/>
      <c r="L19" s="205"/>
      <c r="M19" s="205"/>
      <c r="N19" s="205"/>
      <c r="O19" s="205"/>
      <c r="P19" s="205"/>
      <c r="Q19" s="205"/>
      <c r="R19" s="205"/>
      <c r="S19" s="205"/>
      <c r="T19" s="205"/>
      <c r="U19" s="205"/>
      <c r="V19" s="205"/>
    </row>
    <row r="20" spans="1:31" x14ac:dyDescent="0.15">
      <c r="B20" s="206" t="s">
        <v>439</v>
      </c>
    </row>
    <row r="23" spans="1:31" x14ac:dyDescent="0.15">
      <c r="A23" t="s">
        <v>437</v>
      </c>
      <c r="B23" s="86" t="s">
        <v>398</v>
      </c>
      <c r="C23" s="86"/>
      <c r="D23" s="86"/>
      <c r="E23" s="86"/>
      <c r="F23" s="153" t="s">
        <v>406</v>
      </c>
      <c r="G23" s="153" t="s">
        <v>427</v>
      </c>
      <c r="H23" s="153" t="s">
        <v>407</v>
      </c>
      <c r="J23" s="86" t="s">
        <v>399</v>
      </c>
      <c r="K23" s="86"/>
      <c r="L23" s="153" t="s">
        <v>406</v>
      </c>
      <c r="N23" s="86" t="s">
        <v>387</v>
      </c>
      <c r="O23" s="86"/>
      <c r="P23" s="86"/>
      <c r="R23" s="86" t="s">
        <v>382</v>
      </c>
      <c r="S23" s="86"/>
      <c r="T23" s="86"/>
      <c r="U23" s="86"/>
    </row>
    <row r="24" spans="1:31" x14ac:dyDescent="0.15">
      <c r="B24" t="s">
        <v>405</v>
      </c>
      <c r="F24" s="193">
        <f>'Balance Sheet'!G18</f>
        <v>47</v>
      </c>
      <c r="G24" s="196">
        <f>F24/$D$5</f>
        <v>8.3422080227192053E-2</v>
      </c>
      <c r="H24" s="197">
        <f ca="1">F24/$F$31</f>
        <v>5.6253559930612871E-3</v>
      </c>
      <c r="J24" t="s">
        <v>400</v>
      </c>
      <c r="L24" s="188">
        <f>P29</f>
        <v>6929.0656999999992</v>
      </c>
      <c r="N24" t="s">
        <v>389</v>
      </c>
      <c r="P24" s="162">
        <v>84</v>
      </c>
      <c r="R24" s="155" t="s">
        <v>383</v>
      </c>
      <c r="S24" s="155" t="s">
        <v>384</v>
      </c>
      <c r="T24" s="155" t="s">
        <v>385</v>
      </c>
      <c r="U24" s="155" t="s">
        <v>386</v>
      </c>
    </row>
    <row r="25" spans="1:31" x14ac:dyDescent="0.15">
      <c r="B25" t="str">
        <f ca="1">F4</f>
        <v>600MM Revolver (undrawn)</v>
      </c>
      <c r="F25" s="194">
        <v>0</v>
      </c>
      <c r="G25" s="196">
        <f t="shared" ref="G25:G30" si="0">F25/$D$5</f>
        <v>0</v>
      </c>
      <c r="H25" s="197">
        <f t="shared" ref="H25:H30" ca="1" si="1">F25/$F$31</f>
        <v>0</v>
      </c>
      <c r="J25" t="s">
        <v>401</v>
      </c>
      <c r="L25" s="189">
        <f ca="1">SUMPRODUCT(F26:F28,J5:J7)+AG62*J4</f>
        <v>137.0016</v>
      </c>
      <c r="N25" t="s">
        <v>388</v>
      </c>
      <c r="P25" s="154">
        <v>73.989999999999995</v>
      </c>
      <c r="R25" s="161">
        <v>1.5</v>
      </c>
      <c r="S25" s="154">
        <v>38.97</v>
      </c>
      <c r="T25" s="159">
        <f t="shared" ref="T25:T27" si="2">IF(S25&lt;$P$25, R25,0)</f>
        <v>1.5</v>
      </c>
      <c r="U25" s="74">
        <f>S25*T25</f>
        <v>58.454999999999998</v>
      </c>
    </row>
    <row r="26" spans="1:31" x14ac:dyDescent="0.15">
      <c r="B26" t="str">
        <f ca="1">F5</f>
        <v>3.75% Term Loan A - due 2025</v>
      </c>
      <c r="F26" s="194">
        <f ca="1">AG63</f>
        <v>1690.1999999999998</v>
      </c>
      <c r="G26" s="196">
        <f t="shared" ca="1" si="0"/>
        <v>3</v>
      </c>
      <c r="H26" s="197">
        <f t="shared" ca="1" si="1"/>
        <v>0.20229737658451463</v>
      </c>
      <c r="J26" t="s">
        <v>402</v>
      </c>
      <c r="L26" s="189">
        <f>0.015*P32</f>
        <v>120.05948549999998</v>
      </c>
      <c r="N26" t="s">
        <v>390</v>
      </c>
      <c r="P26" s="85">
        <v>0.1</v>
      </c>
      <c r="R26" s="161">
        <v>0.5</v>
      </c>
      <c r="S26" s="154">
        <v>41.65</v>
      </c>
      <c r="T26" s="159">
        <f t="shared" si="2"/>
        <v>0.5</v>
      </c>
      <c r="U26" s="39">
        <f t="shared" ref="U26:U27" si="3">S26*T26</f>
        <v>20.824999999999999</v>
      </c>
      <c r="Y26" t="s">
        <v>303</v>
      </c>
    </row>
    <row r="27" spans="1:31" x14ac:dyDescent="0.15">
      <c r="B27" t="str">
        <f ca="1">F6</f>
        <v>4.25% Term Loan B - due 2028</v>
      </c>
      <c r="F27" s="194">
        <f t="shared" ref="F27:F28" ca="1" si="4">AG64</f>
        <v>2253.6</v>
      </c>
      <c r="G27" s="196">
        <f t="shared" ca="1" si="0"/>
        <v>4</v>
      </c>
      <c r="H27" s="197">
        <f t="shared" ca="1" si="1"/>
        <v>0.26972983544601953</v>
      </c>
      <c r="J27" t="s">
        <v>403</v>
      </c>
      <c r="L27" s="189">
        <f>P31</f>
        <v>1121.9000000000001</v>
      </c>
      <c r="N27" t="s">
        <v>391</v>
      </c>
      <c r="P27" s="157">
        <f>P25*(1+P26)</f>
        <v>81.388999999999996</v>
      </c>
      <c r="R27" s="161">
        <v>0.3</v>
      </c>
      <c r="S27" s="154">
        <v>51.75</v>
      </c>
      <c r="T27" s="159">
        <f t="shared" si="2"/>
        <v>0.3</v>
      </c>
      <c r="U27" s="39">
        <f t="shared" si="3"/>
        <v>15.524999999999999</v>
      </c>
    </row>
    <row r="28" spans="1:31" x14ac:dyDescent="0.15">
      <c r="B28" t="str">
        <f ca="1">F7</f>
        <v>3.95% Senior Unsecured Loan - due 2028</v>
      </c>
      <c r="F28" s="194">
        <f t="shared" ca="1" si="4"/>
        <v>2253.6</v>
      </c>
      <c r="G28" s="196">
        <f t="shared" ca="1" si="0"/>
        <v>4</v>
      </c>
      <c r="H28" s="197">
        <f t="shared" ca="1" si="1"/>
        <v>0.26972983544601953</v>
      </c>
      <c r="J28" t="s">
        <v>404</v>
      </c>
      <c r="L28" s="191">
        <v>47</v>
      </c>
      <c r="N28" t="s">
        <v>392</v>
      </c>
      <c r="P28" s="158">
        <f>P24+T28-(U28/P27)</f>
        <v>85.13516199977883</v>
      </c>
      <c r="R28" s="163">
        <f>SUM(R25:R27)</f>
        <v>2.2999999999999998</v>
      </c>
      <c r="S28" s="144"/>
      <c r="T28" s="163">
        <f>SUM(T25:T27)</f>
        <v>2.2999999999999998</v>
      </c>
      <c r="U28" s="160">
        <f>SUM(U25:U27)</f>
        <v>94.805000000000007</v>
      </c>
      <c r="Y28" s="78" t="s">
        <v>83</v>
      </c>
      <c r="AA28">
        <f>H$37</f>
        <v>2020</v>
      </c>
      <c r="AB28">
        <f>I$37</f>
        <v>2021</v>
      </c>
      <c r="AC28">
        <f>J$37</f>
        <v>2022</v>
      </c>
      <c r="AD28">
        <f>K$37</f>
        <v>2023</v>
      </c>
      <c r="AE28">
        <f>L$37</f>
        <v>2024</v>
      </c>
    </row>
    <row r="29" spans="1:31" x14ac:dyDescent="0.15">
      <c r="B29" t="s">
        <v>420</v>
      </c>
      <c r="F29" s="194">
        <f>D10</f>
        <v>500</v>
      </c>
      <c r="G29" s="196">
        <f t="shared" si="0"/>
        <v>0.88746893858714948</v>
      </c>
      <c r="H29" s="197">
        <f t="shared" ca="1" si="1"/>
        <v>5.9844212692141359E-2</v>
      </c>
      <c r="L29" s="190"/>
      <c r="N29" s="144" t="s">
        <v>393</v>
      </c>
      <c r="O29" s="144"/>
      <c r="P29" s="160">
        <f>P27*P28</f>
        <v>6929.0656999999992</v>
      </c>
      <c r="Y29" s="80" t="str">
        <f ca="1">OFFSET(Y29,$D$7,0)</f>
        <v>Mgmt. Case</v>
      </c>
      <c r="Z29" s="80"/>
      <c r="AA29" s="82">
        <f ca="1">OFFSET(AA29,$D$7,0)</f>
        <v>0.09</v>
      </c>
      <c r="AB29" s="82">
        <f ca="1">OFFSET(AB29,$D$7,0)</f>
        <v>0.09</v>
      </c>
      <c r="AC29" s="82">
        <f ca="1">OFFSET(AC29,$D$7,0)</f>
        <v>0.09</v>
      </c>
      <c r="AD29" s="82">
        <f ca="1">OFFSET(AD29,$D$7,0)</f>
        <v>0.09</v>
      </c>
      <c r="AE29" s="82">
        <f ca="1">OFFSET(AE29,$D$7,0)</f>
        <v>0.09</v>
      </c>
    </row>
    <row r="30" spans="1:31" x14ac:dyDescent="0.15">
      <c r="B30" t="s">
        <v>421</v>
      </c>
      <c r="F30" s="194">
        <f ca="1">L31-SUM(F24:F29)</f>
        <v>1610.6267854999987</v>
      </c>
      <c r="G30" s="196">
        <f t="shared" ca="1" si="0"/>
        <v>2.8587624875754329</v>
      </c>
      <c r="H30" s="197">
        <f t="shared" ca="1" si="1"/>
        <v>0.19277338383824372</v>
      </c>
      <c r="L30" s="190"/>
      <c r="N30" s="164" t="s">
        <v>394</v>
      </c>
      <c r="P30" s="39">
        <f>-F24</f>
        <v>-47</v>
      </c>
      <c r="R30" s="86" t="s">
        <v>435</v>
      </c>
      <c r="S30" s="86"/>
      <c r="T30" s="86">
        <f>R38</f>
        <v>2020</v>
      </c>
      <c r="U30" s="86">
        <f t="shared" ref="U30:V30" si="5">S38</f>
        <v>2021</v>
      </c>
      <c r="V30" s="86">
        <f t="shared" si="5"/>
        <v>2022</v>
      </c>
      <c r="Y30" t="s">
        <v>304</v>
      </c>
      <c r="AA30" s="81">
        <v>0.09</v>
      </c>
      <c r="AB30" s="81">
        <v>0.09</v>
      </c>
      <c r="AC30" s="81">
        <v>0.09</v>
      </c>
      <c r="AD30" s="81">
        <v>0.09</v>
      </c>
      <c r="AE30" s="81">
        <v>0.09</v>
      </c>
    </row>
    <row r="31" spans="1:31" x14ac:dyDescent="0.15">
      <c r="B31" s="144" t="s">
        <v>428</v>
      </c>
      <c r="C31" s="144"/>
      <c r="D31" s="144"/>
      <c r="E31" s="144"/>
      <c r="F31" s="192">
        <f ca="1">SUM(F24:F30)</f>
        <v>8355.0267854999984</v>
      </c>
      <c r="G31" s="198">
        <f ca="1">SUM(G24:G30)</f>
        <v>14.829653506389775</v>
      </c>
      <c r="H31" s="199">
        <f ca="1">SUM(H24:H30)</f>
        <v>1</v>
      </c>
      <c r="J31" s="144" t="s">
        <v>429</v>
      </c>
      <c r="K31" s="144"/>
      <c r="L31" s="192">
        <f ca="1">SUM(L24:L30)</f>
        <v>8355.0267854999984</v>
      </c>
      <c r="N31" s="164" t="s">
        <v>395</v>
      </c>
      <c r="P31" s="39">
        <f>'Balance Sheet'!G49+'Balance Sheet'!G54</f>
        <v>1121.9000000000001</v>
      </c>
      <c r="R31" t="s">
        <v>433</v>
      </c>
      <c r="T31" s="38">
        <f ca="1">($L$24+$L$27+$L$28)/H43</f>
        <v>14.355409427654596</v>
      </c>
      <c r="U31" s="38">
        <f ca="1">($L$24+$L$27+$L$28)/I43</f>
        <v>13.170100392343665</v>
      </c>
      <c r="V31" s="38">
        <f ca="1">($L$24+$L$27+$L$28)/J43</f>
        <v>12.08266091040703</v>
      </c>
      <c r="Y31" t="s">
        <v>305</v>
      </c>
      <c r="AA31" s="81"/>
      <c r="AB31" s="81"/>
      <c r="AC31" s="81"/>
      <c r="AD31" s="81"/>
      <c r="AE31" s="81"/>
    </row>
    <row r="32" spans="1:31" x14ac:dyDescent="0.15">
      <c r="N32" s="165" t="s">
        <v>396</v>
      </c>
      <c r="O32" s="156"/>
      <c r="P32" s="185">
        <f>SUM(P29:P31)</f>
        <v>8003.9656999999988</v>
      </c>
      <c r="R32" t="s">
        <v>61</v>
      </c>
      <c r="T32" s="38">
        <f ca="1">$L$31/H43</f>
        <v>14.811106236826042</v>
      </c>
      <c r="U32" s="38">
        <f ca="1">$L$31/I43</f>
        <v>13.588170859473431</v>
      </c>
      <c r="V32" s="38">
        <f ca="1">$L$31/J43</f>
        <v>12.466211797682046</v>
      </c>
      <c r="Y32" t="s">
        <v>306</v>
      </c>
      <c r="AA32" s="81"/>
      <c r="AB32" s="81"/>
      <c r="AC32" s="81"/>
      <c r="AD32" s="81"/>
      <c r="AE32" s="81"/>
    </row>
    <row r="33" spans="1:31 16378:16378" x14ac:dyDescent="0.15">
      <c r="B33" s="202" t="s">
        <v>436</v>
      </c>
      <c r="C33" s="202"/>
      <c r="D33" s="202"/>
      <c r="E33" s="203">
        <f ca="1">F30/(F29+F30)</f>
        <v>0.76310354656967361</v>
      </c>
      <c r="F33" s="201"/>
      <c r="G33" s="201"/>
      <c r="H33" s="201"/>
      <c r="I33" s="201"/>
      <c r="J33" s="201"/>
      <c r="K33" s="201"/>
      <c r="L33" s="201"/>
      <c r="N33" s="166" t="s">
        <v>397</v>
      </c>
      <c r="P33" s="186">
        <f>P32/D5</f>
        <v>14.2065418885339</v>
      </c>
      <c r="R33" t="s">
        <v>434</v>
      </c>
      <c r="T33" s="38">
        <f ca="1">$L$31/(H43-H54)</f>
        <v>21.722955814011527</v>
      </c>
      <c r="U33" s="38">
        <f ca="1">$L$31/(I43-I54)</f>
        <v>19.929317260561035</v>
      </c>
      <c r="V33" s="38">
        <f ca="1">$L$31/(J43-J54)</f>
        <v>17.141041221812813</v>
      </c>
      <c r="Y33" t="s">
        <v>307</v>
      </c>
      <c r="AA33" s="81"/>
      <c r="AB33" s="81"/>
      <c r="AC33" s="81"/>
      <c r="AD33" s="81"/>
      <c r="AE33" s="81"/>
    </row>
    <row r="35" spans="1:31 16378:16378" x14ac:dyDescent="0.15">
      <c r="N35" s="201"/>
      <c r="O35" s="201"/>
      <c r="P35" s="201"/>
      <c r="Q35" s="201"/>
      <c r="R35" s="201"/>
      <c r="S35" s="201"/>
      <c r="T35" s="201"/>
      <c r="U35" s="201"/>
      <c r="V35" s="201"/>
      <c r="Y35" s="78" t="s">
        <v>319</v>
      </c>
      <c r="AA35">
        <f>H$37</f>
        <v>2020</v>
      </c>
      <c r="AB35">
        <f>I$37</f>
        <v>2021</v>
      </c>
      <c r="AC35">
        <f>J$37</f>
        <v>2022</v>
      </c>
      <c r="AD35">
        <f>K$37</f>
        <v>2023</v>
      </c>
      <c r="AE35">
        <f>L$37</f>
        <v>2024</v>
      </c>
    </row>
    <row r="36" spans="1:31 16378:16378" ht="15" x14ac:dyDescent="0.3">
      <c r="B36" s="66" t="s">
        <v>310</v>
      </c>
      <c r="E36" s="70" t="s">
        <v>289</v>
      </c>
      <c r="F36" s="70"/>
      <c r="G36" s="70" t="s">
        <v>146</v>
      </c>
      <c r="H36" s="70" t="s">
        <v>288</v>
      </c>
      <c r="I36" s="70"/>
      <c r="J36" s="70"/>
      <c r="K36" s="70"/>
      <c r="L36" s="70"/>
      <c r="Y36" s="80" t="str">
        <f ca="1">OFFSET(Y36,$D$7,0)</f>
        <v>Mgmt. Case</v>
      </c>
      <c r="Z36" s="80"/>
      <c r="AA36" s="82">
        <f ca="1">OFFSET(AA36,$D$7,0)</f>
        <v>0.22</v>
      </c>
      <c r="AB36" s="82">
        <f ca="1">OFFSET(AB36,$D$7,0)</f>
        <v>0.22</v>
      </c>
      <c r="AC36" s="82">
        <f ca="1">OFFSET(AC36,$D$7,0)</f>
        <v>0.22</v>
      </c>
      <c r="AD36" s="82">
        <f ca="1">OFFSET(AD36,$D$7,0)</f>
        <v>0.22</v>
      </c>
      <c r="AE36" s="82">
        <f ca="1">OFFSET(AE36,$D$7,0)</f>
        <v>0.22</v>
      </c>
    </row>
    <row r="37" spans="1:31 16378:16378" ht="13" thickBot="1" x14ac:dyDescent="0.2">
      <c r="B37" s="67" t="s">
        <v>286</v>
      </c>
      <c r="C37" s="68"/>
      <c r="D37" s="68"/>
      <c r="E37" s="72">
        <f>F37-1</f>
        <v>2017</v>
      </c>
      <c r="F37" s="72">
        <f>G37-1</f>
        <v>2018</v>
      </c>
      <c r="G37" s="72">
        <f>H37-1</f>
        <v>2019</v>
      </c>
      <c r="H37" s="72">
        <f>D4</f>
        <v>2020</v>
      </c>
      <c r="I37" s="72">
        <f>H37+1</f>
        <v>2021</v>
      </c>
      <c r="J37" s="72">
        <f t="shared" ref="J37:L37" si="6">I37+1</f>
        <v>2022</v>
      </c>
      <c r="K37" s="72">
        <f t="shared" si="6"/>
        <v>2023</v>
      </c>
      <c r="L37" s="72">
        <f t="shared" si="6"/>
        <v>2024</v>
      </c>
      <c r="Y37" t="s">
        <v>304</v>
      </c>
      <c r="AA37" s="81">
        <v>0.22</v>
      </c>
      <c r="AB37" s="81">
        <v>0.22</v>
      </c>
      <c r="AC37" s="81">
        <v>0.22</v>
      </c>
      <c r="AD37" s="81">
        <v>0.22</v>
      </c>
      <c r="AE37" s="81">
        <v>0.22</v>
      </c>
    </row>
    <row r="38" spans="1:31 16378:16378" ht="13" thickTop="1" x14ac:dyDescent="0.15">
      <c r="A38" t="s">
        <v>437</v>
      </c>
      <c r="N38" s="86" t="s">
        <v>311</v>
      </c>
      <c r="O38" s="86"/>
      <c r="P38" s="86"/>
      <c r="Q38" s="86"/>
      <c r="R38" s="86">
        <f>H$37</f>
        <v>2020</v>
      </c>
      <c r="S38" s="86">
        <f>I$37</f>
        <v>2021</v>
      </c>
      <c r="T38" s="86">
        <f>J$37</f>
        <v>2022</v>
      </c>
      <c r="U38" s="86">
        <f>K$37</f>
        <v>2023</v>
      </c>
      <c r="V38" s="86">
        <f>L$37</f>
        <v>2024</v>
      </c>
      <c r="Y38" t="s">
        <v>305</v>
      </c>
      <c r="AA38" s="81"/>
      <c r="AB38" s="81"/>
      <c r="AC38" s="81"/>
      <c r="AD38" s="81"/>
      <c r="AE38" s="81"/>
    </row>
    <row r="39" spans="1:31 16378:16378" x14ac:dyDescent="0.15">
      <c r="B39" s="37" t="s">
        <v>290</v>
      </c>
      <c r="C39" s="37"/>
      <c r="D39" s="37"/>
      <c r="E39" s="90">
        <f>'Key Stats'!E16</f>
        <v>1973.3</v>
      </c>
      <c r="F39" s="90">
        <f>'Key Stats'!F16</f>
        <v>2189.1</v>
      </c>
      <c r="G39" s="90">
        <f>'Key Stats'!G16</f>
        <v>2352.4</v>
      </c>
      <c r="H39" s="73">
        <f ca="1">G39*(1+H40+H41)</f>
        <v>2564.1160000000004</v>
      </c>
      <c r="I39" s="73">
        <f t="shared" ref="I39:L39" ca="1" si="7">H39*(1+I40+I41)</f>
        <v>2794.8864400000007</v>
      </c>
      <c r="J39" s="73">
        <f t="shared" ca="1" si="7"/>
        <v>3046.4262196000009</v>
      </c>
      <c r="K39" s="73">
        <f t="shared" ca="1" si="7"/>
        <v>3320.604579364001</v>
      </c>
      <c r="L39" s="73">
        <f t="shared" ca="1" si="7"/>
        <v>3619.4589915067613</v>
      </c>
      <c r="Y39" t="s">
        <v>306</v>
      </c>
      <c r="AA39" s="81"/>
      <c r="AB39" s="81"/>
      <c r="AC39" s="81"/>
      <c r="AD39" s="81"/>
      <c r="AE39" s="81"/>
      <c r="XEX39" t="s">
        <v>295</v>
      </c>
    </row>
    <row r="40" spans="1:31 16378:16378" x14ac:dyDescent="0.15">
      <c r="B40" s="66" t="s">
        <v>291</v>
      </c>
      <c r="F40" s="71">
        <f>F39/E39-1</f>
        <v>0.10935995540465204</v>
      </c>
      <c r="G40" s="71">
        <f>G39/F39-1</f>
        <v>7.4596866292083508E-2</v>
      </c>
      <c r="H40" s="83">
        <f ca="1">AA29</f>
        <v>0.09</v>
      </c>
      <c r="I40" s="83">
        <f ca="1">AB29</f>
        <v>0.09</v>
      </c>
      <c r="J40" s="83">
        <f ca="1">AC29</f>
        <v>0.09</v>
      </c>
      <c r="K40" s="83">
        <f ca="1">AD29</f>
        <v>0.09</v>
      </c>
      <c r="L40" s="83">
        <f ca="1">AE29</f>
        <v>0.09</v>
      </c>
      <c r="N40" t="s">
        <v>29</v>
      </c>
      <c r="R40" s="74">
        <f ca="1">H43</f>
        <v>564.10552000000007</v>
      </c>
      <c r="S40" s="74">
        <f ca="1">I43</f>
        <v>614.87501680000014</v>
      </c>
      <c r="T40" s="74">
        <f ca="1">J43</f>
        <v>670.21376831200018</v>
      </c>
      <c r="U40" s="74">
        <f ca="1">K43</f>
        <v>730.53300746008017</v>
      </c>
      <c r="V40" s="74">
        <f ca="1">L43</f>
        <v>796.28097813148747</v>
      </c>
      <c r="Y40" t="s">
        <v>307</v>
      </c>
      <c r="AA40" s="81"/>
      <c r="AB40" s="81"/>
      <c r="AC40" s="81"/>
      <c r="AD40" s="81"/>
      <c r="AE40" s="81"/>
    </row>
    <row r="41" spans="1:31 16378:16378" x14ac:dyDescent="0.15">
      <c r="B41" s="66" t="s">
        <v>320</v>
      </c>
      <c r="H41" s="76">
        <v>0</v>
      </c>
      <c r="I41" s="76">
        <v>0</v>
      </c>
      <c r="J41" s="76">
        <v>0</v>
      </c>
      <c r="K41" s="76">
        <v>0</v>
      </c>
      <c r="L41" s="76">
        <v>0</v>
      </c>
      <c r="N41" s="84" t="s">
        <v>312</v>
      </c>
      <c r="R41" s="213">
        <f ca="1">-H54</f>
        <v>-179.48812000000004</v>
      </c>
      <c r="S41" s="213">
        <f ca="1">-I54</f>
        <v>-195.64205080000008</v>
      </c>
      <c r="T41" s="213">
        <f ca="1">-J54</f>
        <v>-182.78557317600004</v>
      </c>
      <c r="U41" s="213">
        <f ca="1">-K54</f>
        <v>-199.23627476184006</v>
      </c>
      <c r="V41" s="213">
        <f ca="1">-L54</f>
        <v>-217.16753949040566</v>
      </c>
    </row>
    <row r="42" spans="1:31 16378:16378" x14ac:dyDescent="0.15">
      <c r="N42" s="84" t="s">
        <v>313</v>
      </c>
      <c r="R42" s="213">
        <f ca="1">G57-H57</f>
        <v>-35.046000000000049</v>
      </c>
      <c r="S42" s="213">
        <f ca="1">H57-I57</f>
        <v>-38.20014000000009</v>
      </c>
      <c r="T42" s="213">
        <f ca="1">I57-J57</f>
        <v>-41.638152600000012</v>
      </c>
      <c r="U42" s="213">
        <f ca="1">J57-K57</f>
        <v>-45.385586333999981</v>
      </c>
      <c r="V42" s="213">
        <f ca="1">K57-L57</f>
        <v>-49.470289104060157</v>
      </c>
      <c r="Y42" s="78" t="s">
        <v>308</v>
      </c>
      <c r="AA42">
        <f>H$37</f>
        <v>2020</v>
      </c>
      <c r="AB42">
        <f>I$37</f>
        <v>2021</v>
      </c>
      <c r="AC42">
        <f>J$37</f>
        <v>2022</v>
      </c>
      <c r="AD42">
        <f>K$37</f>
        <v>2023</v>
      </c>
      <c r="AE42">
        <f>L$37</f>
        <v>2024</v>
      </c>
    </row>
    <row r="43" spans="1:31 16378:16378" x14ac:dyDescent="0.15">
      <c r="B43" s="37" t="s">
        <v>29</v>
      </c>
      <c r="C43" s="37"/>
      <c r="D43" s="37"/>
      <c r="E43" s="91">
        <f>'Key Stats'!E22</f>
        <v>455.1</v>
      </c>
      <c r="F43" s="91">
        <f>'Key Stats'!F22</f>
        <v>494.7</v>
      </c>
      <c r="G43" s="91">
        <f>'Key Stats'!G22</f>
        <v>563.4</v>
      </c>
      <c r="H43" s="75">
        <f ca="1">H$39*(H44+H45)</f>
        <v>564.10552000000007</v>
      </c>
      <c r="I43" s="75">
        <f ca="1">I$39*(I44+I45)</f>
        <v>614.87501680000014</v>
      </c>
      <c r="J43" s="75">
        <f ca="1">J$39*(J44+J45)</f>
        <v>670.21376831200018</v>
      </c>
      <c r="K43" s="75">
        <f ca="1">K$39*(K44+K45)</f>
        <v>730.53300746008017</v>
      </c>
      <c r="L43" s="75">
        <f ca="1">L$39*(L44+L45)</f>
        <v>796.28097813148747</v>
      </c>
      <c r="N43" s="84" t="s">
        <v>314</v>
      </c>
      <c r="R43" s="213">
        <f ca="1">-R64</f>
        <v>-289.91070000000002</v>
      </c>
      <c r="S43" s="213">
        <f ca="1">-S64</f>
        <v>-285.8355181206</v>
      </c>
      <c r="T43" s="213">
        <f ca="1">-T64</f>
        <v>-281.35933995523311</v>
      </c>
      <c r="U43" s="213">
        <f ca="1">-U64</f>
        <v>-275.98870628070796</v>
      </c>
      <c r="V43" s="213">
        <f ca="1">-V64</f>
        <v>-270.0942545803702</v>
      </c>
      <c r="Y43" s="80" t="str">
        <f ca="1">OFFSET(Y43,$D$7,0)</f>
        <v>Mgmt. Case</v>
      </c>
      <c r="Z43" s="80"/>
      <c r="AA43" s="82">
        <f ca="1">OFFSET(AA43,$D$7,0)</f>
        <v>6.6000000000000003E-2</v>
      </c>
      <c r="AB43" s="82">
        <f ca="1">OFFSET(AB43,$D$7,0)</f>
        <v>6.6000000000000003E-2</v>
      </c>
      <c r="AC43" s="82">
        <f ca="1">OFFSET(AC43,$D$7,0)</f>
        <v>6.6000000000000003E-2</v>
      </c>
      <c r="AD43" s="82">
        <f ca="1">OFFSET(AD43,$D$7,0)</f>
        <v>6.6000000000000003E-2</v>
      </c>
      <c r="AE43" s="82">
        <f ca="1">OFFSET(AE43,$D$7,0)</f>
        <v>6.6000000000000003E-2</v>
      </c>
    </row>
    <row r="44" spans="1:31 16378:16378" x14ac:dyDescent="0.15">
      <c r="B44" s="66" t="s">
        <v>292</v>
      </c>
      <c r="E44" s="71">
        <f>E43/E$39</f>
        <v>0.23062889575837431</v>
      </c>
      <c r="F44" s="71">
        <f>F43/F$39</f>
        <v>0.2259832808003289</v>
      </c>
      <c r="G44" s="71">
        <f>G43/G$39</f>
        <v>0.23950008501955447</v>
      </c>
      <c r="H44" s="71">
        <f ca="1">AA36</f>
        <v>0.22</v>
      </c>
      <c r="I44" s="71">
        <f ca="1">AB36</f>
        <v>0.22</v>
      </c>
      <c r="J44" s="71">
        <f ca="1">AC36</f>
        <v>0.22</v>
      </c>
      <c r="K44" s="71">
        <f ca="1">AD36</f>
        <v>0.22</v>
      </c>
      <c r="L44" s="71">
        <f ca="1">AE36</f>
        <v>0.22</v>
      </c>
      <c r="N44" s="84" t="str">
        <f>"(-) Cash Taxes @ "&amp;TEXT($D$9, "0.0%")</f>
        <v>(-) Cash Taxes @ 21.0%</v>
      </c>
      <c r="R44" s="213">
        <f ca="1">-(H51-R64)*$D$9</f>
        <v>-27.426908040000004</v>
      </c>
      <c r="S44" s="213">
        <f ca="1">-(I51-S64)*$D$9</f>
        <v>-36.230430188274013</v>
      </c>
      <c r="T44" s="213">
        <f ca="1">-(J51-T64)*$D$9</f>
        <v>-45.833457612425079</v>
      </c>
      <c r="U44" s="213">
        <f ca="1">-(K51-U64)*$D$9</f>
        <v>-56.403993394347502</v>
      </c>
      <c r="V44" s="213">
        <f ca="1">-(L51-V64)*$D$9</f>
        <v>-67.934374205615114</v>
      </c>
      <c r="Y44" t="s">
        <v>304</v>
      </c>
      <c r="AA44" s="81">
        <v>6.6000000000000003E-2</v>
      </c>
      <c r="AB44" s="81">
        <v>6.6000000000000003E-2</v>
      </c>
      <c r="AC44" s="81">
        <v>6.6000000000000003E-2</v>
      </c>
      <c r="AD44" s="81">
        <v>6.6000000000000003E-2</v>
      </c>
      <c r="AE44" s="81">
        <v>6.6000000000000003E-2</v>
      </c>
    </row>
    <row r="45" spans="1:31 16378:16378" x14ac:dyDescent="0.15">
      <c r="B45" s="66" t="s">
        <v>320</v>
      </c>
      <c r="H45" s="76">
        <v>0</v>
      </c>
      <c r="I45" s="76">
        <v>0</v>
      </c>
      <c r="J45" s="76">
        <v>0</v>
      </c>
      <c r="K45" s="76">
        <v>0</v>
      </c>
      <c r="L45" s="76">
        <v>0</v>
      </c>
      <c r="N45" s="84" t="s">
        <v>316</v>
      </c>
      <c r="R45" s="213">
        <f ca="1">SUM(H78+H89+H100)</f>
        <v>-107.04599999999999</v>
      </c>
      <c r="S45" s="213">
        <f ca="1">SUM(I78+I89+I100)</f>
        <v>-107.04599999999999</v>
      </c>
      <c r="T45" s="213">
        <f ca="1">SUM(J78+J89+J100)</f>
        <v>-107.04599999999999</v>
      </c>
      <c r="U45" s="213">
        <f ca="1">SUM(K78+K89+K100)</f>
        <v>-107.04599999999999</v>
      </c>
      <c r="V45" s="213">
        <f ca="1">SUM(L78+L89+L100)</f>
        <v>-107.04599999999999</v>
      </c>
      <c r="Y45" t="s">
        <v>305</v>
      </c>
      <c r="AA45" s="81"/>
      <c r="AB45" s="81"/>
      <c r="AC45" s="81"/>
      <c r="AD45" s="81"/>
      <c r="AE45" s="81"/>
    </row>
    <row r="46" spans="1:31 16378:16378" x14ac:dyDescent="0.15">
      <c r="B46" s="66" t="s">
        <v>291</v>
      </c>
      <c r="F46" s="71">
        <f t="shared" ref="F46:L46" si="8">F43/E43-1</f>
        <v>8.7013843111404032E-2</v>
      </c>
      <c r="G46" s="71">
        <f t="shared" si="8"/>
        <v>0.13887204366282591</v>
      </c>
      <c r="H46" s="71">
        <f t="shared" ca="1" si="8"/>
        <v>1.2522541711041946E-3</v>
      </c>
      <c r="I46" s="71">
        <f t="shared" ca="1" si="8"/>
        <v>9.000000000000008E-2</v>
      </c>
      <c r="J46" s="71">
        <f t="shared" ca="1" si="8"/>
        <v>9.000000000000008E-2</v>
      </c>
      <c r="K46" s="71">
        <f t="shared" ca="1" si="8"/>
        <v>8.9999999999999858E-2</v>
      </c>
      <c r="L46" s="71">
        <f t="shared" ca="1" si="8"/>
        <v>9.000000000000008E-2</v>
      </c>
      <c r="N46" s="87" t="s">
        <v>315</v>
      </c>
      <c r="O46" s="88"/>
      <c r="P46" s="88"/>
      <c r="Q46" s="88"/>
      <c r="R46" s="216">
        <f ca="1">SUM(R40:R45)</f>
        <v>-74.81220804000003</v>
      </c>
      <c r="S46" s="216">
        <f t="shared" ref="S46:V46" ca="1" si="9">SUM(S40:S45)</f>
        <v>-48.079122308874062</v>
      </c>
      <c r="T46" s="216">
        <f t="shared" ca="1" si="9"/>
        <v>11.551244968341919</v>
      </c>
      <c r="U46" s="216">
        <f t="shared" ca="1" si="9"/>
        <v>46.472446689184693</v>
      </c>
      <c r="V46" s="216">
        <f t="shared" ca="1" si="9"/>
        <v>84.568520751036289</v>
      </c>
      <c r="Y46" t="s">
        <v>306</v>
      </c>
      <c r="AA46" s="81"/>
      <c r="AB46" s="81"/>
      <c r="AC46" s="81"/>
      <c r="AD46" s="81"/>
      <c r="AE46" s="81"/>
    </row>
    <row r="47" spans="1:31 16378:16378" x14ac:dyDescent="0.15">
      <c r="Y47" t="s">
        <v>307</v>
      </c>
      <c r="AA47" s="81"/>
      <c r="AB47" s="81"/>
      <c r="AC47" s="81"/>
      <c r="AD47" s="81"/>
      <c r="AE47" s="81"/>
    </row>
    <row r="48" spans="1:31 16378:16378" x14ac:dyDescent="0.15">
      <c r="B48" s="37" t="s">
        <v>293</v>
      </c>
      <c r="C48" s="37"/>
      <c r="D48" s="37"/>
      <c r="E48" s="91">
        <f>'Cash Flow'!E18+'Cash Flow'!E19</f>
        <v>104.5</v>
      </c>
      <c r="F48" s="91">
        <f>'Cash Flow'!F18+'Cash Flow'!F19</f>
        <v>123.10000000000001</v>
      </c>
      <c r="G48" s="91">
        <f>'Cash Flow'!G18+'Cash Flow'!G19</f>
        <v>139.4</v>
      </c>
      <c r="H48" s="75">
        <f ca="1">H$39*H49</f>
        <v>143.59049600000003</v>
      </c>
      <c r="I48" s="75">
        <f ca="1">I$39*I49</f>
        <v>156.51364064000003</v>
      </c>
      <c r="J48" s="75">
        <f ca="1">J$39*J49</f>
        <v>170.59986829760004</v>
      </c>
      <c r="K48" s="75">
        <f ca="1">K$39*K49</f>
        <v>185.95385644438406</v>
      </c>
      <c r="L48" s="75">
        <f ca="1">L$39*L49</f>
        <v>202.68970352437864</v>
      </c>
    </row>
    <row r="49" spans="1:34" x14ac:dyDescent="0.15">
      <c r="B49" s="66" t="s">
        <v>292</v>
      </c>
      <c r="E49" s="71">
        <f>E48/E$39</f>
        <v>5.2956975624588253E-2</v>
      </c>
      <c r="F49" s="71">
        <f>F48/F$39</f>
        <v>5.6233155177927006E-2</v>
      </c>
      <c r="G49" s="71">
        <f>G48/G$39</f>
        <v>5.92586294847815E-2</v>
      </c>
      <c r="H49" s="76">
        <v>5.6000000000000001E-2</v>
      </c>
      <c r="I49" s="76">
        <v>5.6000000000000001E-2</v>
      </c>
      <c r="J49" s="76">
        <v>5.6000000000000001E-2</v>
      </c>
      <c r="K49" s="76">
        <v>5.6000000000000001E-2</v>
      </c>
      <c r="L49" s="76">
        <v>5.6000000000000001E-2</v>
      </c>
    </row>
    <row r="51" spans="1:34" x14ac:dyDescent="0.15">
      <c r="B51" s="37" t="s">
        <v>30</v>
      </c>
      <c r="E51" s="89">
        <f>E43-E48</f>
        <v>350.6</v>
      </c>
      <c r="F51" s="89">
        <f t="shared" ref="F51:L51" si="10">F43-F48</f>
        <v>371.59999999999997</v>
      </c>
      <c r="G51" s="89">
        <f t="shared" si="10"/>
        <v>424</v>
      </c>
      <c r="H51" s="89">
        <f t="shared" ca="1" si="10"/>
        <v>420.51502400000004</v>
      </c>
      <c r="I51" s="89">
        <f t="shared" ca="1" si="10"/>
        <v>458.36137616000008</v>
      </c>
      <c r="J51" s="89">
        <f t="shared" ca="1" si="10"/>
        <v>499.61390001440014</v>
      </c>
      <c r="K51" s="89">
        <f t="shared" ca="1" si="10"/>
        <v>544.57915101569608</v>
      </c>
      <c r="L51" s="89">
        <f t="shared" ca="1" si="10"/>
        <v>593.59127460710886</v>
      </c>
    </row>
    <row r="52" spans="1:34" x14ac:dyDescent="0.15">
      <c r="B52" s="66" t="s">
        <v>292</v>
      </c>
      <c r="E52" s="71">
        <f t="shared" ref="E52:L52" si="11">E51/E$39</f>
        <v>0.17767192013378605</v>
      </c>
      <c r="F52" s="71">
        <f t="shared" si="11"/>
        <v>0.16975012562240188</v>
      </c>
      <c r="G52" s="71">
        <f t="shared" si="11"/>
        <v>0.180241455534773</v>
      </c>
      <c r="H52" s="71">
        <f t="shared" ca="1" si="11"/>
        <v>0.16399999999999998</v>
      </c>
      <c r="I52" s="71">
        <f t="shared" ca="1" si="11"/>
        <v>0.16399999999999998</v>
      </c>
      <c r="J52" s="71">
        <f t="shared" ca="1" si="11"/>
        <v>0.16400000000000001</v>
      </c>
      <c r="K52" s="71">
        <f t="shared" ca="1" si="11"/>
        <v>0.16399999999999998</v>
      </c>
      <c r="L52" s="71">
        <f t="shared" ca="1" si="11"/>
        <v>0.16400000000000001</v>
      </c>
    </row>
    <row r="54" spans="1:34" x14ac:dyDescent="0.15">
      <c r="B54" s="37" t="s">
        <v>294</v>
      </c>
      <c r="C54" s="37"/>
      <c r="D54" s="37"/>
      <c r="E54" s="91">
        <f>-'Cash Flow'!E34</f>
        <v>278.10000000000002</v>
      </c>
      <c r="F54" s="91">
        <f>-'Cash Flow'!F34</f>
        <v>184.1</v>
      </c>
      <c r="G54" s="91">
        <f>-'Cash Flow'!G34</f>
        <v>196.6</v>
      </c>
      <c r="H54" s="75">
        <f ca="1">H$39*H55</f>
        <v>179.48812000000004</v>
      </c>
      <c r="I54" s="75">
        <f ca="1">I$39*I55</f>
        <v>195.64205080000008</v>
      </c>
      <c r="J54" s="75">
        <f ca="1">J$39*J55</f>
        <v>182.78557317600004</v>
      </c>
      <c r="K54" s="75">
        <f ca="1">K$39*K55</f>
        <v>199.23627476184006</v>
      </c>
      <c r="L54" s="75">
        <f ca="1">L$39*L55</f>
        <v>217.16753949040566</v>
      </c>
    </row>
    <row r="55" spans="1:34" x14ac:dyDescent="0.15">
      <c r="B55" s="66" t="s">
        <v>292</v>
      </c>
      <c r="E55" s="71">
        <f>E54/E$39</f>
        <v>0.1409314346526124</v>
      </c>
      <c r="F55" s="71">
        <f>F54/F$39</f>
        <v>8.4098487963089857E-2</v>
      </c>
      <c r="G55" s="71">
        <f>G54/G$39</f>
        <v>8.3574222071076343E-2</v>
      </c>
      <c r="H55" s="76">
        <v>7.0000000000000007E-2</v>
      </c>
      <c r="I55" s="76">
        <v>7.0000000000000007E-2</v>
      </c>
      <c r="J55" s="76">
        <v>0.06</v>
      </c>
      <c r="K55" s="76">
        <v>0.06</v>
      </c>
      <c r="L55" s="76">
        <v>0.06</v>
      </c>
    </row>
    <row r="57" spans="1:34" x14ac:dyDescent="0.15">
      <c r="B57" s="37" t="s">
        <v>309</v>
      </c>
      <c r="C57" s="37"/>
      <c r="D57" s="37"/>
      <c r="E57" s="92">
        <f>'Balance Sheet'!E27-'Balance Sheet'!E52-'Balance Sheet'!B18</f>
        <v>323.70000000000005</v>
      </c>
      <c r="F57" s="92">
        <f>'Balance Sheet'!F27-'Balance Sheet'!F52-'Balance Sheet'!C18</f>
        <v>297.29999999999995</v>
      </c>
      <c r="G57" s="92">
        <f>'Balance Sheet'!G27-'Balance Sheet'!G52-'Balance Sheet'!D18</f>
        <v>389.40000000000003</v>
      </c>
      <c r="H57" s="75">
        <f ca="1">H$39*H58</f>
        <v>424.44600000000008</v>
      </c>
      <c r="I57" s="75">
        <f ca="1">I$39*I58</f>
        <v>462.64614000000017</v>
      </c>
      <c r="J57" s="75">
        <f ca="1">J$39*J58</f>
        <v>504.28429260000019</v>
      </c>
      <c r="K57" s="75">
        <f ca="1">K$39*K58</f>
        <v>549.66987893400017</v>
      </c>
      <c r="L57" s="75">
        <f ca="1">L$39*L58</f>
        <v>599.14016803806032</v>
      </c>
    </row>
    <row r="58" spans="1:34" x14ac:dyDescent="0.15">
      <c r="B58" s="66" t="s">
        <v>292</v>
      </c>
      <c r="E58" s="71">
        <f>E57/E$39</f>
        <v>0.16403993310697818</v>
      </c>
      <c r="F58" s="71">
        <f>F57/F$39</f>
        <v>0.13580923667260517</v>
      </c>
      <c r="G58" s="71">
        <f>G57/G$39</f>
        <v>0.16553307260669956</v>
      </c>
      <c r="H58" s="76">
        <f>G58</f>
        <v>0.16553307260669956</v>
      </c>
      <c r="I58" s="76">
        <f t="shared" ref="I58:L58" si="12">H58</f>
        <v>0.16553307260669956</v>
      </c>
      <c r="J58" s="76">
        <f t="shared" si="12"/>
        <v>0.16553307260669956</v>
      </c>
      <c r="K58" s="76">
        <f t="shared" si="12"/>
        <v>0.16553307260669956</v>
      </c>
      <c r="L58" s="76">
        <f t="shared" si="12"/>
        <v>0.16553307260669956</v>
      </c>
      <c r="N58" s="86" t="s">
        <v>456</v>
      </c>
      <c r="O58" s="86"/>
      <c r="P58" s="86"/>
      <c r="Q58" s="86"/>
      <c r="R58" s="86">
        <f>H$37</f>
        <v>2020</v>
      </c>
      <c r="S58" s="86">
        <f>I$37</f>
        <v>2021</v>
      </c>
      <c r="T58" s="86">
        <f>J$37</f>
        <v>2022</v>
      </c>
      <c r="U58" s="86">
        <f>K$37</f>
        <v>2023</v>
      </c>
      <c r="V58" s="86">
        <f>L$37</f>
        <v>2024</v>
      </c>
    </row>
    <row r="60" spans="1:34" ht="15" x14ac:dyDescent="0.3">
      <c r="A60" s="37"/>
      <c r="B60" s="201"/>
      <c r="C60" s="201"/>
      <c r="D60" s="201"/>
      <c r="E60" s="201"/>
      <c r="F60" s="201"/>
      <c r="G60" s="201"/>
      <c r="H60" s="201"/>
      <c r="I60" s="201"/>
      <c r="J60" s="201"/>
      <c r="K60" s="201"/>
      <c r="L60" s="201"/>
      <c r="N60" t="s">
        <v>205</v>
      </c>
      <c r="R60" s="211">
        <f ca="1">H68+H80+H91+H102-H111</f>
        <v>6118.1662080400001</v>
      </c>
      <c r="S60" s="211">
        <f ca="1">I68+I80+I91+I102-I111</f>
        <v>6059.1993303488744</v>
      </c>
      <c r="T60" s="211">
        <f ca="1">J68+J80+J91+J102-J111</f>
        <v>5940.6020853805312</v>
      </c>
      <c r="U60" s="211">
        <f ca="1">K68+K80+K91+K102-K111</f>
        <v>5787.083638691347</v>
      </c>
      <c r="V60" s="211">
        <f ca="1">L68+L80+L91+L102-L111</f>
        <v>5595.4691179403098</v>
      </c>
      <c r="Y60" s="167" t="s">
        <v>317</v>
      </c>
      <c r="AA60" s="168" t="s">
        <v>412</v>
      </c>
      <c r="AB60" s="168"/>
      <c r="AC60" s="168"/>
      <c r="AD60" s="168"/>
      <c r="AE60" s="168"/>
      <c r="AF60" s="168" t="s">
        <v>413</v>
      </c>
      <c r="AG60" s="168" t="s">
        <v>415</v>
      </c>
    </row>
    <row r="61" spans="1:34" x14ac:dyDescent="0.15">
      <c r="A61" t="s">
        <v>437</v>
      </c>
      <c r="N61" s="215" t="s">
        <v>457</v>
      </c>
      <c r="R61" s="38">
        <f ca="1">R$60/H$43</f>
        <v>10.845783264166604</v>
      </c>
      <c r="S61" s="38">
        <f ca="1">S$60/I$43</f>
        <v>9.8543592840750343</v>
      </c>
      <c r="T61" s="38">
        <f ca="1">T$60/J$43</f>
        <v>8.8637422360667504</v>
      </c>
      <c r="U61" s="38">
        <f ca="1">U$60/K$43</f>
        <v>7.9217278064024796</v>
      </c>
      <c r="V61" s="38">
        <f ca="1">V$60/L$43</f>
        <v>7.0270033714359892</v>
      </c>
      <c r="AA61" s="152">
        <v>1</v>
      </c>
      <c r="AB61" s="152">
        <f>AA61+1</f>
        <v>2</v>
      </c>
      <c r="AC61" s="152">
        <f t="shared" ref="AC61:AE61" si="13">AB61+1</f>
        <v>3</v>
      </c>
      <c r="AD61" s="152">
        <f t="shared" si="13"/>
        <v>4</v>
      </c>
      <c r="AE61" s="152">
        <f t="shared" si="13"/>
        <v>5</v>
      </c>
      <c r="AF61" s="171">
        <f ca="1">OFFSET(AF61,0,$D$8-6)</f>
        <v>2</v>
      </c>
    </row>
    <row r="62" spans="1:34" x14ac:dyDescent="0.15">
      <c r="N62" s="215" t="s">
        <v>458</v>
      </c>
      <c r="R62" s="38">
        <f ca="1">R$60/(H$43-H$54)</f>
        <v>15.907148787444353</v>
      </c>
      <c r="S62" s="38">
        <f ca="1">S$60/(I$43-I$54)</f>
        <v>14.453060283310053</v>
      </c>
      <c r="T62" s="38">
        <f ca="1">T$60/(J$43-J$54)</f>
        <v>12.187645574591782</v>
      </c>
      <c r="U62" s="38">
        <f ca="1">U$60/(K$43-K$54)</f>
        <v>10.892375733803409</v>
      </c>
      <c r="V62" s="38">
        <f ca="1">V$60/(L$43-L$54)</f>
        <v>9.6621296357244866</v>
      </c>
      <c r="Y62" t="s">
        <v>408</v>
      </c>
      <c r="AA62" s="169">
        <v>600</v>
      </c>
      <c r="AB62" s="169">
        <v>600</v>
      </c>
      <c r="AC62" s="169">
        <v>1000</v>
      </c>
      <c r="AD62" s="169">
        <v>850</v>
      </c>
      <c r="AE62" s="169">
        <v>850</v>
      </c>
      <c r="AF62" s="172">
        <f t="shared" ref="AF62:AF70" ca="1" si="14">OFFSET(AF62,0,$D$8-6)</f>
        <v>600</v>
      </c>
      <c r="AG62" s="74">
        <f ca="1">AF62</f>
        <v>600</v>
      </c>
    </row>
    <row r="63" spans="1:34" x14ac:dyDescent="0.15">
      <c r="A63" t="s">
        <v>437</v>
      </c>
      <c r="B63" s="86" t="s">
        <v>440</v>
      </c>
      <c r="C63" s="86"/>
      <c r="D63" s="86"/>
      <c r="E63" s="86"/>
      <c r="F63" s="86"/>
      <c r="G63" s="86">
        <f>G37</f>
        <v>2019</v>
      </c>
      <c r="H63" s="86">
        <f>H37</f>
        <v>2020</v>
      </c>
      <c r="I63" s="86">
        <f t="shared" ref="I63:L63" si="15">I37</f>
        <v>2021</v>
      </c>
      <c r="J63" s="86">
        <f t="shared" si="15"/>
        <v>2022</v>
      </c>
      <c r="K63" s="86">
        <f t="shared" si="15"/>
        <v>2023</v>
      </c>
      <c r="L63" s="86">
        <f t="shared" si="15"/>
        <v>2024</v>
      </c>
      <c r="M63" s="37"/>
      <c r="Y63" t="s">
        <v>409</v>
      </c>
      <c r="AA63" s="170">
        <v>2</v>
      </c>
      <c r="AB63" s="170">
        <v>3</v>
      </c>
      <c r="AC63" s="170">
        <v>2</v>
      </c>
      <c r="AD63" s="170">
        <v>3</v>
      </c>
      <c r="AE63" s="170">
        <v>2</v>
      </c>
      <c r="AF63" s="173">
        <f t="shared" ca="1" si="14"/>
        <v>3</v>
      </c>
      <c r="AG63" s="39">
        <f ca="1">AF63*$D$5</f>
        <v>1690.1999999999998</v>
      </c>
    </row>
    <row r="64" spans="1:34" x14ac:dyDescent="0.15">
      <c r="N64" t="s">
        <v>459</v>
      </c>
      <c r="R64" s="211">
        <f ca="1">H70+H73+H84+H95+H105-H114</f>
        <v>289.91070000000002</v>
      </c>
      <c r="S64" s="211">
        <f ca="1">I70+I73+I84+I95+I105-I114</f>
        <v>285.8355181206</v>
      </c>
      <c r="T64" s="211">
        <f ca="1">J70+J73+J84+J95+J105-J114</f>
        <v>281.35933995523311</v>
      </c>
      <c r="U64" s="211">
        <f ca="1">K70+K73+K84+K95+K105-K114</f>
        <v>275.98870628070796</v>
      </c>
      <c r="V64" s="211">
        <f ca="1">L70+L73+L84+L95+L105-L114</f>
        <v>270.0942545803702</v>
      </c>
      <c r="Y64" t="s">
        <v>410</v>
      </c>
      <c r="AA64" s="170">
        <v>2</v>
      </c>
      <c r="AB64" s="170">
        <v>4</v>
      </c>
      <c r="AC64" s="170">
        <v>1</v>
      </c>
      <c r="AD64" s="170">
        <v>2</v>
      </c>
      <c r="AE64" s="170">
        <v>2</v>
      </c>
      <c r="AF64" s="173">
        <f t="shared" ca="1" si="14"/>
        <v>4</v>
      </c>
      <c r="AG64" s="39">
        <f t="shared" ref="AG64:AG65" ca="1" si="16">AF64*$D$5</f>
        <v>2253.6</v>
      </c>
      <c r="AH64" t="s">
        <v>419</v>
      </c>
    </row>
    <row r="65" spans="2:33" x14ac:dyDescent="0.15">
      <c r="B65" s="78" t="str">
        <f ca="1">B25</f>
        <v>600MM Revolver (undrawn)</v>
      </c>
      <c r="N65" s="84" t="s">
        <v>460</v>
      </c>
      <c r="R65" s="38">
        <f ca="1">H$43/R64</f>
        <v>1.9457906175936246</v>
      </c>
      <c r="S65" s="38">
        <f ca="1">I$43/S64</f>
        <v>2.1511497970681566</v>
      </c>
      <c r="T65" s="38">
        <f ca="1">J$43/T64</f>
        <v>2.3820562289442297</v>
      </c>
      <c r="U65" s="38">
        <f ca="1">K$43/U64</f>
        <v>2.6469670346476262</v>
      </c>
      <c r="V65" s="38">
        <f ca="1">L$43/V64</f>
        <v>2.9481596317871444</v>
      </c>
      <c r="Y65" t="s">
        <v>411</v>
      </c>
      <c r="AA65" s="170">
        <v>3</v>
      </c>
      <c r="AB65" s="170">
        <v>4</v>
      </c>
      <c r="AC65" s="170">
        <v>1</v>
      </c>
      <c r="AD65" s="170">
        <v>1</v>
      </c>
      <c r="AE65" s="170">
        <v>0</v>
      </c>
      <c r="AF65" s="173">
        <f t="shared" ca="1" si="14"/>
        <v>4</v>
      </c>
      <c r="AG65" s="39">
        <f t="shared" ca="1" si="16"/>
        <v>2253.6</v>
      </c>
    </row>
    <row r="66" spans="2:33" x14ac:dyDescent="0.15">
      <c r="B66" t="s">
        <v>441</v>
      </c>
      <c r="H66" s="211">
        <f>G68</f>
        <v>0</v>
      </c>
      <c r="I66" s="211">
        <f t="shared" ref="I66:L66" ca="1" si="17">H68</f>
        <v>74.81220804000003</v>
      </c>
      <c r="J66" s="211">
        <f t="shared" ca="1" si="17"/>
        <v>122.89133034887409</v>
      </c>
      <c r="K66" s="211">
        <f t="shared" ca="1" si="17"/>
        <v>111.34008538053217</v>
      </c>
      <c r="L66" s="211">
        <f t="shared" ca="1" si="17"/>
        <v>64.86763869134748</v>
      </c>
      <c r="N66" s="84" t="s">
        <v>461</v>
      </c>
      <c r="R66" s="38">
        <f ca="1">(H$43-H$54)/R$64</f>
        <v>1.3266754210865621</v>
      </c>
      <c r="S66" s="38">
        <f ca="1">(I$43-I$54)/S$64</f>
        <v>1.4666930434555612</v>
      </c>
      <c r="T66" s="38">
        <f ca="1">(J$43-J$54)/T$64</f>
        <v>1.7324045301412581</v>
      </c>
      <c r="U66" s="38">
        <f ca="1">(K$43-K$54)/U$64</f>
        <v>1.9250669342891826</v>
      </c>
      <c r="V66" s="38">
        <f ca="1">(L$43-L$54)/V$64</f>
        <v>2.1441160958451957</v>
      </c>
      <c r="AA66" s="69"/>
      <c r="AB66" s="69"/>
      <c r="AC66" s="69"/>
      <c r="AD66" s="69"/>
      <c r="AE66" s="69"/>
    </row>
    <row r="67" spans="2:33" x14ac:dyDescent="0.15">
      <c r="B67" s="84" t="s">
        <v>442</v>
      </c>
      <c r="H67" s="213">
        <f ca="1">-MIN(H66,R46)</f>
        <v>74.81220804000003</v>
      </c>
      <c r="I67" s="213">
        <f ca="1">-MIN(I66,S46)</f>
        <v>48.079122308874062</v>
      </c>
      <c r="J67" s="213">
        <f ca="1">-MIN(J66,T46)</f>
        <v>-11.551244968341919</v>
      </c>
      <c r="K67" s="213">
        <f ca="1">-MIN(K66,U46)</f>
        <v>-46.472446689184693</v>
      </c>
      <c r="L67" s="213">
        <f ca="1">-MIN(L66,V46)</f>
        <v>-64.86763869134748</v>
      </c>
      <c r="Y67" t="s">
        <v>408</v>
      </c>
      <c r="AA67" s="174">
        <v>1.2500000000000001E-2</v>
      </c>
      <c r="AB67" s="174">
        <v>0.01</v>
      </c>
      <c r="AC67" s="174">
        <v>1.2500000000000001E-2</v>
      </c>
      <c r="AD67" s="174">
        <v>1.2500000000000001E-2</v>
      </c>
      <c r="AE67" s="174">
        <v>1.2500000000000001E-2</v>
      </c>
      <c r="AF67" s="178">
        <f t="shared" ca="1" si="14"/>
        <v>0.01</v>
      </c>
    </row>
    <row r="68" spans="2:33" x14ac:dyDescent="0.15">
      <c r="B68" t="s">
        <v>443</v>
      </c>
      <c r="G68" s="212">
        <f>F25</f>
        <v>0</v>
      </c>
      <c r="H68" s="212">
        <f ca="1">SUM(H66:H67)</f>
        <v>74.81220804000003</v>
      </c>
      <c r="I68" s="212">
        <f t="shared" ref="I68:L68" ca="1" si="18">SUM(I66:I67)</f>
        <v>122.89133034887409</v>
      </c>
      <c r="J68" s="212">
        <f t="shared" ca="1" si="18"/>
        <v>111.34008538053217</v>
      </c>
      <c r="K68" s="212">
        <f t="shared" ca="1" si="18"/>
        <v>64.86763869134748</v>
      </c>
      <c r="L68" s="212">
        <f t="shared" ca="1" si="18"/>
        <v>0</v>
      </c>
      <c r="N68" s="201"/>
      <c r="O68" s="201"/>
      <c r="P68" s="201"/>
      <c r="Q68" s="201"/>
      <c r="R68" s="201"/>
      <c r="S68" s="201"/>
      <c r="T68" s="201"/>
      <c r="U68" s="201"/>
      <c r="V68" s="201"/>
      <c r="Y68" t="s">
        <v>409</v>
      </c>
      <c r="AA68" s="175">
        <v>3.7499999999999999E-2</v>
      </c>
      <c r="AB68" s="175">
        <v>3.7499999999999999E-2</v>
      </c>
      <c r="AC68" s="175">
        <v>0.05</v>
      </c>
      <c r="AD68" s="175">
        <v>0.05</v>
      </c>
      <c r="AE68" s="175">
        <v>0.05</v>
      </c>
      <c r="AF68" s="178">
        <f t="shared" ca="1" si="14"/>
        <v>3.7499999999999999E-2</v>
      </c>
    </row>
    <row r="69" spans="2:33" x14ac:dyDescent="0.15">
      <c r="Y69" t="s">
        <v>410</v>
      </c>
      <c r="AA69" s="175">
        <v>4.2500000000000003E-2</v>
      </c>
      <c r="AB69" s="175">
        <v>4.2500000000000003E-2</v>
      </c>
      <c r="AC69" s="175">
        <v>0.06</v>
      </c>
      <c r="AD69" s="175">
        <v>0.06</v>
      </c>
      <c r="AE69" s="175">
        <v>0.06</v>
      </c>
      <c r="AF69" s="178">
        <f t="shared" ca="1" si="14"/>
        <v>4.2500000000000003E-2</v>
      </c>
    </row>
    <row r="70" spans="2:33" x14ac:dyDescent="0.15">
      <c r="B70" t="s">
        <v>444</v>
      </c>
      <c r="E70" s="229">
        <v>5.0000000000000001E-3</v>
      </c>
      <c r="G70" s="208"/>
      <c r="H70" s="211">
        <f ca="1">($AG$62-H66)*$E$70</f>
        <v>3</v>
      </c>
      <c r="I70" s="211">
        <f t="shared" ref="I70:L70" ca="1" si="19">($AG$62-I66)*$E$70</f>
        <v>2.6259389597999996</v>
      </c>
      <c r="J70" s="211">
        <f t="shared" ca="1" si="19"/>
        <v>2.3855433482556299</v>
      </c>
      <c r="K70" s="211">
        <f t="shared" ca="1" si="19"/>
        <v>2.443299573097339</v>
      </c>
      <c r="L70" s="211">
        <f t="shared" ca="1" si="19"/>
        <v>2.6756618065432627</v>
      </c>
      <c r="R70">
        <v>0.75</v>
      </c>
      <c r="S70">
        <f>R70+1</f>
        <v>1.75</v>
      </c>
      <c r="T70">
        <f t="shared" ref="T70:V70" si="20">S70+1</f>
        <v>2.75</v>
      </c>
      <c r="U70">
        <f t="shared" si="20"/>
        <v>3.75</v>
      </c>
      <c r="V70">
        <f t="shared" si="20"/>
        <v>4.75</v>
      </c>
      <c r="Y70" t="s">
        <v>411</v>
      </c>
      <c r="AA70" s="176">
        <v>5.5E-2</v>
      </c>
      <c r="AB70" s="176">
        <v>3.95E-2</v>
      </c>
      <c r="AC70" s="176">
        <v>7.0000000000000007E-2</v>
      </c>
      <c r="AD70" s="176">
        <v>7.0000000000000007E-2</v>
      </c>
      <c r="AE70" s="176">
        <v>7.0000000000000007E-2</v>
      </c>
      <c r="AF70" s="177">
        <f t="shared" ca="1" si="14"/>
        <v>3.95E-2</v>
      </c>
    </row>
    <row r="71" spans="2:33" x14ac:dyDescent="0.15">
      <c r="B71" t="s">
        <v>448</v>
      </c>
      <c r="G71" s="179"/>
      <c r="H71" s="179">
        <f t="shared" ref="H71" ca="1" si="21">$AF$67</f>
        <v>0.01</v>
      </c>
      <c r="I71" s="179">
        <f t="shared" ref="I71:L71" ca="1" si="22">H71</f>
        <v>0.01</v>
      </c>
      <c r="J71" s="179">
        <f t="shared" ca="1" si="22"/>
        <v>0.01</v>
      </c>
      <c r="K71" s="179">
        <f t="shared" ca="1" si="22"/>
        <v>0.01</v>
      </c>
      <c r="L71" s="179">
        <f t="shared" ca="1" si="22"/>
        <v>0.01</v>
      </c>
      <c r="N71" s="86" t="s">
        <v>462</v>
      </c>
      <c r="O71" s="86"/>
      <c r="P71" s="86"/>
      <c r="Q71" s="86"/>
      <c r="R71" s="86">
        <f>H$37</f>
        <v>2020</v>
      </c>
      <c r="S71" s="86">
        <f>I$37</f>
        <v>2021</v>
      </c>
      <c r="T71" s="86">
        <f>J$37</f>
        <v>2022</v>
      </c>
      <c r="U71" s="86">
        <f>K$37</f>
        <v>2023</v>
      </c>
      <c r="V71" s="86">
        <f>L$37</f>
        <v>2024</v>
      </c>
      <c r="AA71" s="69"/>
      <c r="AB71" s="69"/>
      <c r="AC71" s="69"/>
      <c r="AD71" s="69"/>
      <c r="AE71" s="69"/>
    </row>
    <row r="72" spans="2:33" x14ac:dyDescent="0.15">
      <c r="B72" t="s">
        <v>445</v>
      </c>
      <c r="H72" s="210">
        <f ca="1">H71+H$116</f>
        <v>0.02</v>
      </c>
      <c r="I72" s="210">
        <f ca="1">I71+I$116</f>
        <v>0.02</v>
      </c>
      <c r="J72" s="210">
        <f ca="1">J71+J$116</f>
        <v>0.02</v>
      </c>
      <c r="K72" s="210">
        <f ca="1">K71+K$116</f>
        <v>0.02</v>
      </c>
      <c r="L72" s="210">
        <f ca="1">L71+L$116</f>
        <v>0.02</v>
      </c>
      <c r="AA72" s="69"/>
      <c r="AB72" s="69"/>
      <c r="AC72" s="69"/>
      <c r="AD72" s="69"/>
      <c r="AE72" s="69"/>
    </row>
    <row r="73" spans="2:33" x14ac:dyDescent="0.15">
      <c r="B73" t="s">
        <v>449</v>
      </c>
      <c r="H73" s="211">
        <f ca="1">IF(CIRC=1, AVEDEV(G68:H68), H66)*H72</f>
        <v>0</v>
      </c>
      <c r="I73" s="211">
        <f ca="1">IF(CIRC=1, AVEDEV(H68:I68), I66)*I72</f>
        <v>1.4962441608000006</v>
      </c>
      <c r="J73" s="211">
        <f ca="1">IF(CIRC=1, AVEDEV(I68:J68), J66)*J72</f>
        <v>2.4578266069774819</v>
      </c>
      <c r="K73" s="211">
        <f ca="1">IF(CIRC=1, AVEDEV(J68:K68), K66)*K72</f>
        <v>2.2268017076106434</v>
      </c>
      <c r="L73" s="211">
        <f ca="1">IF(CIRC=1, AVEDEV(K68:L68), L66)*L72</f>
        <v>1.2973527738269497</v>
      </c>
      <c r="N73" t="s">
        <v>463</v>
      </c>
      <c r="R73" s="211">
        <f ca="1">H43</f>
        <v>564.10552000000007</v>
      </c>
      <c r="S73" s="211">
        <f t="shared" ref="S73:V73" ca="1" si="23">I43</f>
        <v>614.87501680000014</v>
      </c>
      <c r="T73" s="211">
        <f t="shared" ca="1" si="23"/>
        <v>670.21376831200018</v>
      </c>
      <c r="U73" s="211">
        <f t="shared" ca="1" si="23"/>
        <v>730.53300746008017</v>
      </c>
      <c r="V73" s="211">
        <f t="shared" ca="1" si="23"/>
        <v>796.28097813148747</v>
      </c>
      <c r="AA73" s="69"/>
      <c r="AB73" s="69"/>
      <c r="AC73" s="69"/>
      <c r="AD73" s="69"/>
      <c r="AE73" s="69"/>
    </row>
    <row r="74" spans="2:33" x14ac:dyDescent="0.15">
      <c r="B74" t="s">
        <v>450</v>
      </c>
      <c r="H74" s="184">
        <v>1</v>
      </c>
      <c r="I74" s="184">
        <v>1</v>
      </c>
      <c r="J74" s="184">
        <v>1</v>
      </c>
      <c r="K74" s="184">
        <v>1</v>
      </c>
      <c r="L74" s="184">
        <v>1</v>
      </c>
      <c r="N74" t="s">
        <v>424</v>
      </c>
      <c r="R74" s="217">
        <f>$D$6</f>
        <v>17</v>
      </c>
      <c r="S74" s="217">
        <f t="shared" ref="S74:V74" si="24">$D$6</f>
        <v>17</v>
      </c>
      <c r="T74" s="217">
        <f t="shared" si="24"/>
        <v>17</v>
      </c>
      <c r="U74" s="217">
        <f t="shared" si="24"/>
        <v>17</v>
      </c>
      <c r="V74" s="217">
        <f t="shared" si="24"/>
        <v>17</v>
      </c>
      <c r="AA74" s="69"/>
      <c r="AB74" s="69"/>
      <c r="AC74" s="69"/>
      <c r="AD74" s="69"/>
      <c r="AE74" s="69"/>
    </row>
    <row r="75" spans="2:33" x14ac:dyDescent="0.15">
      <c r="N75" s="37" t="s">
        <v>464</v>
      </c>
      <c r="R75" s="216">
        <f ca="1">R73*R74</f>
        <v>9589.7938400000021</v>
      </c>
      <c r="S75" s="216">
        <f t="shared" ref="S75:V75" ca="1" si="25">S73*S74</f>
        <v>10452.875285600003</v>
      </c>
      <c r="T75" s="216">
        <f t="shared" ca="1" si="25"/>
        <v>11393.634061304003</v>
      </c>
      <c r="U75" s="216">
        <f t="shared" ca="1" si="25"/>
        <v>12419.061126821363</v>
      </c>
      <c r="V75" s="216">
        <f t="shared" ca="1" si="25"/>
        <v>13536.776628235288</v>
      </c>
      <c r="AA75" s="69"/>
      <c r="AB75" s="69"/>
      <c r="AC75" s="69"/>
      <c r="AD75" s="69"/>
      <c r="AE75" s="69"/>
    </row>
    <row r="76" spans="2:33" x14ac:dyDescent="0.15">
      <c r="B76" s="78" t="str">
        <f ca="1">B26</f>
        <v>3.75% Term Loan A - due 2025</v>
      </c>
      <c r="N76" s="218" t="s">
        <v>458</v>
      </c>
      <c r="O76" s="66"/>
      <c r="P76" s="66"/>
      <c r="Q76" s="66"/>
      <c r="R76" s="186">
        <f ca="1">R75/(H$43-H$54)</f>
        <v>24.933333333333337</v>
      </c>
      <c r="S76" s="186">
        <f t="shared" ref="S76:V76" ca="1" si="26">S75/(I$43-I$54)</f>
        <v>24.933333333333337</v>
      </c>
      <c r="T76" s="186">
        <f t="shared" ca="1" si="26"/>
        <v>23.375</v>
      </c>
      <c r="U76" s="186">
        <f t="shared" ca="1" si="26"/>
        <v>23.375</v>
      </c>
      <c r="V76" s="186">
        <f t="shared" ca="1" si="26"/>
        <v>23.375000000000004</v>
      </c>
      <c r="AA76" s="69"/>
      <c r="AB76" s="69"/>
      <c r="AC76" s="69"/>
      <c r="AD76" s="69"/>
      <c r="AE76" s="69"/>
    </row>
    <row r="77" spans="2:33" x14ac:dyDescent="0.15">
      <c r="B77" t="s">
        <v>441</v>
      </c>
      <c r="H77" s="211">
        <f ca="1">G80</f>
        <v>1690.1999999999998</v>
      </c>
      <c r="I77" s="211">
        <f t="shared" ref="I77:L77" ca="1" si="27">H80</f>
        <v>1605.6899999999998</v>
      </c>
      <c r="J77" s="211">
        <f t="shared" ca="1" si="27"/>
        <v>1521.1799999999998</v>
      </c>
      <c r="K77" s="211">
        <f t="shared" ca="1" si="27"/>
        <v>1436.6699999999998</v>
      </c>
      <c r="L77" s="211">
        <f t="shared" ca="1" si="27"/>
        <v>1352.1599999999999</v>
      </c>
      <c r="AA77" s="69"/>
      <c r="AB77" s="69"/>
      <c r="AC77" s="69"/>
      <c r="AD77" s="69"/>
      <c r="AE77" s="69"/>
    </row>
    <row r="78" spans="2:33" x14ac:dyDescent="0.15">
      <c r="B78" s="84" t="s">
        <v>451</v>
      </c>
      <c r="E78" t="s">
        <v>452</v>
      </c>
      <c r="H78" s="39">
        <f ca="1">-$G$80*$K$5</f>
        <v>-84.509999999999991</v>
      </c>
      <c r="I78" s="39">
        <f t="shared" ref="I78:L78" ca="1" si="28">-$G$80*$K$5</f>
        <v>-84.509999999999991</v>
      </c>
      <c r="J78" s="39">
        <f t="shared" ca="1" si="28"/>
        <v>-84.509999999999991</v>
      </c>
      <c r="K78" s="39">
        <f t="shared" ca="1" si="28"/>
        <v>-84.509999999999991</v>
      </c>
      <c r="L78" s="39">
        <f t="shared" ca="1" si="28"/>
        <v>-84.509999999999991</v>
      </c>
      <c r="N78" s="84" t="s">
        <v>465</v>
      </c>
      <c r="R78" s="213">
        <f ca="1">-R60</f>
        <v>-6118.1662080400001</v>
      </c>
      <c r="S78" s="213">
        <f t="shared" ref="S78:V78" ca="1" si="29">-S60</f>
        <v>-6059.1993303488744</v>
      </c>
      <c r="T78" s="213">
        <f t="shared" ca="1" si="29"/>
        <v>-5940.6020853805312</v>
      </c>
      <c r="U78" s="213">
        <f t="shared" ca="1" si="29"/>
        <v>-5787.083638691347</v>
      </c>
      <c r="V78" s="213">
        <f t="shared" ca="1" si="29"/>
        <v>-5595.4691179403098</v>
      </c>
      <c r="AA78" s="69"/>
      <c r="AB78" s="69"/>
      <c r="AC78" s="69"/>
      <c r="AD78" s="69"/>
      <c r="AE78" s="69"/>
    </row>
    <row r="79" spans="2:33" x14ac:dyDescent="0.15">
      <c r="B79" s="84" t="s">
        <v>442</v>
      </c>
      <c r="E79" s="207">
        <v>0.75</v>
      </c>
      <c r="H79" s="213">
        <f ca="1">-MAX(0, MIN(H77+H78,(R$46+H$67)*$E$79))*H85</f>
        <v>0</v>
      </c>
      <c r="I79" s="213">
        <f ca="1">-MAX(0, MIN(I77+I78,(S$46+I$67)*$E$79))*I85</f>
        <v>0</v>
      </c>
      <c r="J79" s="213">
        <f ca="1">-MAX(0, MIN(J77+J78,(T$46+J$67)*$E$79))*J85</f>
        <v>0</v>
      </c>
      <c r="K79" s="213">
        <f ca="1">-MAX(0, MIN(K77+K78,(U$46+K$67)*$E$79))*K85</f>
        <v>0</v>
      </c>
      <c r="L79" s="213">
        <f ca="1">-MAX(0, MIN(L77+L78,(V$46+L$67)*$E$79))*L85</f>
        <v>-14.775661544766606</v>
      </c>
      <c r="N79" s="37" t="s">
        <v>466</v>
      </c>
      <c r="R79" s="216">
        <f ca="1">R75+R78</f>
        <v>3471.627631960002</v>
      </c>
      <c r="S79" s="216">
        <f t="shared" ref="S79:V79" ca="1" si="30">S75+S78</f>
        <v>4393.6759552511285</v>
      </c>
      <c r="T79" s="216">
        <f t="shared" ca="1" si="30"/>
        <v>5453.0319759234717</v>
      </c>
      <c r="U79" s="216">
        <f t="shared" ca="1" si="30"/>
        <v>6631.9774881300164</v>
      </c>
      <c r="V79" s="216">
        <f t="shared" ca="1" si="30"/>
        <v>7941.3075102949779</v>
      </c>
      <c r="AA79" s="69"/>
      <c r="AB79" s="69"/>
      <c r="AC79" s="69"/>
      <c r="AD79" s="69"/>
      <c r="AE79" s="69"/>
    </row>
    <row r="80" spans="2:33" x14ac:dyDescent="0.15">
      <c r="B80" t="s">
        <v>443</v>
      </c>
      <c r="G80" s="212">
        <f ca="1">F26</f>
        <v>1690.1999999999998</v>
      </c>
      <c r="H80" s="212">
        <f ca="1">SUM(H77:H79)</f>
        <v>1605.6899999999998</v>
      </c>
      <c r="I80" s="212">
        <f t="shared" ref="I80" ca="1" si="31">SUM(I77:I79)</f>
        <v>1521.1799999999998</v>
      </c>
      <c r="J80" s="212">
        <f t="shared" ref="J80" ca="1" si="32">SUM(J77:J79)</f>
        <v>1436.6699999999998</v>
      </c>
      <c r="K80" s="212">
        <f t="shared" ref="K80:L80" ca="1" si="33">SUM(K77:K79)</f>
        <v>1352.1599999999999</v>
      </c>
      <c r="L80" s="212">
        <f t="shared" ca="1" si="33"/>
        <v>1252.8743384552333</v>
      </c>
      <c r="Y80" s="237" t="s">
        <v>475</v>
      </c>
      <c r="Z80" s="233"/>
      <c r="AA80" s="234"/>
      <c r="AB80" s="235" t="s">
        <v>406</v>
      </c>
      <c r="AC80" s="235" t="s">
        <v>407</v>
      </c>
      <c r="AD80" s="236" t="s">
        <v>427</v>
      </c>
      <c r="AE80" s="69"/>
    </row>
    <row r="81" spans="2:31" x14ac:dyDescent="0.15">
      <c r="N81" s="84" t="s">
        <v>467</v>
      </c>
      <c r="R81" s="85">
        <v>0.91</v>
      </c>
      <c r="S81" s="85">
        <v>0.91</v>
      </c>
      <c r="T81" s="85">
        <v>0.91</v>
      </c>
      <c r="U81" s="85">
        <v>0.91</v>
      </c>
      <c r="V81" s="85">
        <v>0.91</v>
      </c>
      <c r="Y81" t="s">
        <v>325</v>
      </c>
      <c r="AB81" s="74">
        <f>F24</f>
        <v>47</v>
      </c>
      <c r="AE81" s="69"/>
    </row>
    <row r="82" spans="2:31" x14ac:dyDescent="0.15">
      <c r="B82" t="s">
        <v>448</v>
      </c>
      <c r="G82" s="179"/>
      <c r="H82" s="179">
        <f ca="1">$AF$68</f>
        <v>3.7499999999999999E-2</v>
      </c>
      <c r="I82" s="179">
        <f t="shared" ref="I82:L82" ca="1" si="34">H82</f>
        <v>3.7499999999999999E-2</v>
      </c>
      <c r="J82" s="179">
        <f t="shared" ca="1" si="34"/>
        <v>3.7499999999999999E-2</v>
      </c>
      <c r="K82" s="179">
        <f t="shared" ca="1" si="34"/>
        <v>3.7499999999999999E-2</v>
      </c>
      <c r="L82" s="179">
        <f t="shared" ca="1" si="34"/>
        <v>3.7499999999999999E-2</v>
      </c>
      <c r="N82" s="37" t="s">
        <v>468</v>
      </c>
      <c r="R82" s="219">
        <f ca="1">R79*R81</f>
        <v>3159.1811450836017</v>
      </c>
      <c r="S82" s="219">
        <f t="shared" ref="S82:V82" ca="1" si="35">S79*S81</f>
        <v>3998.245119278527</v>
      </c>
      <c r="T82" s="219">
        <f t="shared" ca="1" si="35"/>
        <v>4962.2590980903597</v>
      </c>
      <c r="U82" s="219">
        <f t="shared" ca="1" si="35"/>
        <v>6035.0995141983149</v>
      </c>
      <c r="V82" s="219">
        <f t="shared" ca="1" si="35"/>
        <v>7226.5898343684303</v>
      </c>
      <c r="Y82" t="str">
        <f ca="1">B25</f>
        <v>600MM Revolver (undrawn)</v>
      </c>
      <c r="AA82" s="69"/>
      <c r="AB82" s="230">
        <f>F25</f>
        <v>0</v>
      </c>
      <c r="AD82" s="38"/>
      <c r="AE82" s="69"/>
    </row>
    <row r="83" spans="2:31" x14ac:dyDescent="0.15">
      <c r="B83" t="s">
        <v>445</v>
      </c>
      <c r="H83" s="210">
        <f ca="1">H82+H$116</f>
        <v>4.7500000000000001E-2</v>
      </c>
      <c r="I83" s="210">
        <f ca="1">I82+I$116</f>
        <v>4.7500000000000001E-2</v>
      </c>
      <c r="J83" s="210">
        <f ca="1">J82+J$116</f>
        <v>4.7500000000000001E-2</v>
      </c>
      <c r="K83" s="210">
        <f ca="1">K82+K$116</f>
        <v>4.7500000000000001E-2</v>
      </c>
      <c r="L83" s="210">
        <f ca="1">L82+L$116</f>
        <v>4.7500000000000001E-2</v>
      </c>
      <c r="Y83" t="str">
        <f ca="1">B26</f>
        <v>3.75% Term Loan A - due 2025</v>
      </c>
      <c r="AA83" s="69"/>
      <c r="AB83" s="230">
        <f ca="1">F26</f>
        <v>1690.1999999999998</v>
      </c>
      <c r="AD83" s="38"/>
      <c r="AE83" s="69"/>
    </row>
    <row r="84" spans="2:31" x14ac:dyDescent="0.15">
      <c r="B84" t="s">
        <v>449</v>
      </c>
      <c r="H84" s="211">
        <f ca="1">IF(CIRC=1, AVEDEV(G80:H80), H77)*H83</f>
        <v>80.284499999999994</v>
      </c>
      <c r="I84" s="211">
        <f ca="1">IF(CIRC=1, AVEDEV(H80:I80), I77)*I83</f>
        <v>76.270274999999998</v>
      </c>
      <c r="J84" s="211">
        <f ca="1">IF(CIRC=1, AVEDEV(I80:J80), J77)*J83</f>
        <v>72.256049999999988</v>
      </c>
      <c r="K84" s="211">
        <f ca="1">IF(CIRC=1, AVEDEV(J80:K80), K77)*K83</f>
        <v>68.241824999999992</v>
      </c>
      <c r="L84" s="211">
        <f ca="1">IF(CIRC=1, AVEDEV(K80:L80), L77)*L83</f>
        <v>64.227599999999995</v>
      </c>
      <c r="N84" s="84" t="s">
        <v>469</v>
      </c>
      <c r="R84" s="213">
        <f ca="1">MAX(0, (R82-$F$30)*$D$11)</f>
        <v>108.39880517085221</v>
      </c>
      <c r="S84" s="213">
        <f t="shared" ref="S84:V84" ca="1" si="36">MAX(0, (S82-$F$30)*$D$11)</f>
        <v>167.133283364497</v>
      </c>
      <c r="T84" s="213">
        <f t="shared" ca="1" si="36"/>
        <v>234.61426188132529</v>
      </c>
      <c r="U84" s="213">
        <f t="shared" ca="1" si="36"/>
        <v>309.71309100888215</v>
      </c>
      <c r="V84" s="213">
        <f t="shared" ca="1" si="36"/>
        <v>393.11741342079023</v>
      </c>
      <c r="Y84" t="str">
        <f ca="1">B27</f>
        <v>4.25% Term Loan B - due 2028</v>
      </c>
      <c r="AA84" s="69"/>
      <c r="AB84" s="230">
        <f ca="1">F27</f>
        <v>2253.6</v>
      </c>
      <c r="AD84" s="38"/>
      <c r="AE84" s="69"/>
    </row>
    <row r="85" spans="2:31" x14ac:dyDescent="0.15">
      <c r="B85" t="s">
        <v>450</v>
      </c>
      <c r="H85" s="184">
        <v>1</v>
      </c>
      <c r="I85" s="184">
        <v>1</v>
      </c>
      <c r="J85" s="184">
        <v>1</v>
      </c>
      <c r="K85" s="184">
        <v>1</v>
      </c>
      <c r="L85" s="184">
        <v>1</v>
      </c>
      <c r="N85" s="37" t="s">
        <v>470</v>
      </c>
      <c r="R85" s="219">
        <f ca="1">R82-R84</f>
        <v>3050.7823399127496</v>
      </c>
      <c r="S85" s="219">
        <f t="shared" ref="S85:V85" ca="1" si="37">S82-S84</f>
        <v>3831.1118359140301</v>
      </c>
      <c r="T85" s="219">
        <f t="shared" ca="1" si="37"/>
        <v>4727.6448362090341</v>
      </c>
      <c r="U85" s="219">
        <f t="shared" ca="1" si="37"/>
        <v>5725.3864231894331</v>
      </c>
      <c r="V85" s="219">
        <f t="shared" ca="1" si="37"/>
        <v>6833.4724209476399</v>
      </c>
      <c r="Y85" s="231" t="s">
        <v>473</v>
      </c>
      <c r="AB85" s="160">
        <f ca="1">SUM(AB82:AB84)</f>
        <v>3943.7999999999997</v>
      </c>
      <c r="AC85" s="238">
        <f ca="1">AB85/$AB$92</f>
        <v>0.4720272120305341</v>
      </c>
      <c r="AD85" s="187">
        <f ca="1">AB85/$D$5</f>
        <v>7</v>
      </c>
      <c r="AE85" s="69"/>
    </row>
    <row r="86" spans="2:31" ht="13" thickBot="1" x14ac:dyDescent="0.2">
      <c r="Y86" t="str">
        <f ca="1">B28</f>
        <v>3.95% Senior Unsecured Loan - due 2028</v>
      </c>
      <c r="AA86" s="69"/>
      <c r="AB86" s="230">
        <f ca="1">F28</f>
        <v>2253.6</v>
      </c>
      <c r="AD86" s="38"/>
      <c r="AE86" s="69"/>
    </row>
    <row r="87" spans="2:31" x14ac:dyDescent="0.15">
      <c r="B87" s="78" t="str">
        <f ca="1">B27</f>
        <v>4.25% Term Loan B - due 2028</v>
      </c>
      <c r="N87" s="220" t="s">
        <v>471</v>
      </c>
      <c r="O87" s="221"/>
      <c r="P87" s="221"/>
      <c r="Q87" s="221"/>
      <c r="R87" s="222">
        <f t="shared" ref="R87:V87" ca="1" si="38">(R82/$F$30)^(1/R$70)-1</f>
        <v>1.4553089591967319</v>
      </c>
      <c r="S87" s="222">
        <f t="shared" ca="1" si="38"/>
        <v>0.68128977022767989</v>
      </c>
      <c r="T87" s="222">
        <f t="shared" ca="1" si="38"/>
        <v>0.50557869853050974</v>
      </c>
      <c r="U87" s="222">
        <f t="shared" ca="1" si="38"/>
        <v>0.4222759669161229</v>
      </c>
      <c r="V87" s="223">
        <f t="shared" ca="1" si="38"/>
        <v>0.37167179357123836</v>
      </c>
      <c r="Y87" s="231" t="s">
        <v>204</v>
      </c>
      <c r="AB87" s="160">
        <f ca="1">SUM(AB85:AB86)</f>
        <v>6197.4</v>
      </c>
      <c r="AC87" s="238">
        <f ca="1">AB87/$AB$92</f>
        <v>0.74175704747655369</v>
      </c>
      <c r="AD87" s="187">
        <f ca="1">AB87/$D$5</f>
        <v>11</v>
      </c>
    </row>
    <row r="88" spans="2:31" ht="13" thickBot="1" x14ac:dyDescent="0.2">
      <c r="B88" t="s">
        <v>441</v>
      </c>
      <c r="H88" s="211">
        <f ca="1">G91</f>
        <v>2253.6</v>
      </c>
      <c r="I88" s="211">
        <f t="shared" ref="I88:L88" ca="1" si="39">H91</f>
        <v>2231.0639999999999</v>
      </c>
      <c r="J88" s="211">
        <f t="shared" ca="1" si="39"/>
        <v>2208.5279999999998</v>
      </c>
      <c r="K88" s="211">
        <f t="shared" ca="1" si="39"/>
        <v>2185.9919999999997</v>
      </c>
      <c r="L88" s="211">
        <f t="shared" ca="1" si="39"/>
        <v>2163.4559999999997</v>
      </c>
      <c r="N88" s="224" t="s">
        <v>472</v>
      </c>
      <c r="O88" s="225"/>
      <c r="P88" s="225"/>
      <c r="Q88" s="225"/>
      <c r="R88" s="226">
        <f t="shared" ref="R88:V88" ca="1" si="40">(R85/$F$30)^(1/R$70)-1</f>
        <v>1.3436265456415644</v>
      </c>
      <c r="S88" s="226">
        <f t="shared" ca="1" si="40"/>
        <v>0.64076228363593835</v>
      </c>
      <c r="T88" s="226">
        <f t="shared" ca="1" si="40"/>
        <v>0.47929407690444337</v>
      </c>
      <c r="U88" s="226">
        <f t="shared" ca="1" si="40"/>
        <v>0.40243465983543514</v>
      </c>
      <c r="V88" s="227">
        <f t="shared" ca="1" si="40"/>
        <v>0.35561420590292125</v>
      </c>
      <c r="Y88" t="str">
        <f>B29</f>
        <v>Management Rollover</v>
      </c>
      <c r="AA88" s="69"/>
      <c r="AB88" s="230">
        <f>F29</f>
        <v>500</v>
      </c>
      <c r="AD88" s="38"/>
    </row>
    <row r="89" spans="2:31" x14ac:dyDescent="0.15">
      <c r="B89" s="84" t="s">
        <v>451</v>
      </c>
      <c r="E89" t="s">
        <v>452</v>
      </c>
      <c r="H89" s="213">
        <f ca="1">-$G$91*$K$6</f>
        <v>-22.535999999999998</v>
      </c>
      <c r="I89" s="213">
        <f t="shared" ref="I89:L89" ca="1" si="41">-$G$91*$K$6</f>
        <v>-22.535999999999998</v>
      </c>
      <c r="J89" s="213">
        <f t="shared" ca="1" si="41"/>
        <v>-22.535999999999998</v>
      </c>
      <c r="K89" s="213">
        <f t="shared" ca="1" si="41"/>
        <v>-22.535999999999998</v>
      </c>
      <c r="L89" s="213">
        <f t="shared" ca="1" si="41"/>
        <v>-22.535999999999998</v>
      </c>
      <c r="Y89" t="str">
        <f>B30</f>
        <v>Epsilon Equity</v>
      </c>
      <c r="AB89" s="230">
        <f ca="1">F30</f>
        <v>1610.6267854999987</v>
      </c>
      <c r="AD89" s="38"/>
    </row>
    <row r="90" spans="2:31" x14ac:dyDescent="0.15">
      <c r="B90" s="84" t="s">
        <v>442</v>
      </c>
      <c r="E90" s="207">
        <v>0.5</v>
      </c>
      <c r="H90" s="213">
        <f ca="1">-MAX(0, MIN(H88+H89,(R$46+H$67+H$79)*$E$90))*H96</f>
        <v>0</v>
      </c>
      <c r="I90" s="213">
        <f ca="1">-MAX(0, MIN(I88+I89,(S$46+I$67+I$79)*$E$90))*I96</f>
        <v>0</v>
      </c>
      <c r="J90" s="213">
        <f ca="1">-MAX(0, MIN(J88+J89,(T$46+J$67+J$79)*$E$90))*J96</f>
        <v>0</v>
      </c>
      <c r="K90" s="213">
        <f ca="1">-MAX(0, MIN(K88+K89,(U$46+K$67+K$79)*$E$90))*K96</f>
        <v>0</v>
      </c>
      <c r="L90" s="213">
        <f ca="1">-MAX(0, MIN(L88+L89,(V$46+L$67+L$79)*$E$90))*L96</f>
        <v>-2.4626102574611011</v>
      </c>
      <c r="Y90" s="231" t="s">
        <v>197</v>
      </c>
      <c r="AB90" s="160">
        <f ca="1">SUM(AB88:AB89)</f>
        <v>2110.6267854999987</v>
      </c>
      <c r="AC90" s="238">
        <f ca="1">AB90/$AB$92</f>
        <v>0.25261759653038507</v>
      </c>
      <c r="AD90" s="187">
        <f ca="1">AB90/$D$5</f>
        <v>3.7462314261625824</v>
      </c>
    </row>
    <row r="91" spans="2:31" x14ac:dyDescent="0.15">
      <c r="B91" t="s">
        <v>443</v>
      </c>
      <c r="G91" s="212">
        <f ca="1">F27</f>
        <v>2253.6</v>
      </c>
      <c r="H91" s="212">
        <f ca="1">SUM(H88:H90)</f>
        <v>2231.0639999999999</v>
      </c>
      <c r="I91" s="212">
        <f t="shared" ref="I91" ca="1" si="42">SUM(I88:I90)</f>
        <v>2208.5279999999998</v>
      </c>
      <c r="J91" s="212">
        <f t="shared" ref="J91" ca="1" si="43">SUM(J88:J90)</f>
        <v>2185.9919999999997</v>
      </c>
      <c r="K91" s="212">
        <f t="shared" ref="K91" ca="1" si="44">SUM(K88:K90)</f>
        <v>2163.4559999999997</v>
      </c>
      <c r="L91" s="212">
        <f t="shared" ref="L91" ca="1" si="45">SUM(L88:L90)</f>
        <v>2138.4573897425385</v>
      </c>
    </row>
    <row r="92" spans="2:31" x14ac:dyDescent="0.15">
      <c r="Y92" s="37" t="s">
        <v>474</v>
      </c>
      <c r="AB92" s="73">
        <f ca="1">AB81+AB87+AB90</f>
        <v>8355.0267854999984</v>
      </c>
      <c r="AD92" s="232">
        <f ca="1">AB92/$D$5</f>
        <v>14.829653506389773</v>
      </c>
    </row>
    <row r="93" spans="2:31" x14ac:dyDescent="0.15">
      <c r="B93" t="s">
        <v>448</v>
      </c>
      <c r="G93" s="179"/>
      <c r="H93" s="179">
        <f ca="1">$AF$69</f>
        <v>4.2500000000000003E-2</v>
      </c>
      <c r="I93" s="179">
        <f t="shared" ref="I93:L93" ca="1" si="46">H93</f>
        <v>4.2500000000000003E-2</v>
      </c>
      <c r="J93" s="179">
        <f t="shared" ca="1" si="46"/>
        <v>4.2500000000000003E-2</v>
      </c>
      <c r="K93" s="179">
        <f t="shared" ca="1" si="46"/>
        <v>4.2500000000000003E-2</v>
      </c>
      <c r="L93" s="179">
        <f t="shared" ca="1" si="46"/>
        <v>4.2500000000000003E-2</v>
      </c>
    </row>
    <row r="94" spans="2:31" x14ac:dyDescent="0.15">
      <c r="B94" t="s">
        <v>445</v>
      </c>
      <c r="H94" s="210">
        <f ca="1">H93+H$116</f>
        <v>5.2500000000000005E-2</v>
      </c>
      <c r="I94" s="210">
        <f ca="1">I93+I$116</f>
        <v>5.2500000000000005E-2</v>
      </c>
      <c r="J94" s="210">
        <f ca="1">J93+J$116</f>
        <v>5.2500000000000005E-2</v>
      </c>
      <c r="K94" s="210">
        <f ca="1">K93+K$116</f>
        <v>5.2500000000000005E-2</v>
      </c>
      <c r="L94" s="210">
        <f ca="1">L93+L$116</f>
        <v>5.2500000000000005E-2</v>
      </c>
    </row>
    <row r="95" spans="2:31" x14ac:dyDescent="0.15">
      <c r="B95" t="s">
        <v>449</v>
      </c>
      <c r="H95" s="211">
        <f ca="1">IF(CIRC=1, AVEDEV(G91:H91), H88)*H94</f>
        <v>118.31400000000001</v>
      </c>
      <c r="I95" s="211">
        <f ca="1">IF(CIRC=1, AVEDEV(H91:I91), I88)*I94</f>
        <v>117.13086</v>
      </c>
      <c r="J95" s="211">
        <f ca="1">IF(CIRC=1, AVEDEV(I91:J91), J88)*J94</f>
        <v>115.94772</v>
      </c>
      <c r="K95" s="211">
        <f ca="1">IF(CIRC=1, AVEDEV(J91:K91), K88)*K94</f>
        <v>114.76458</v>
      </c>
      <c r="L95" s="211">
        <f ca="1">IF(CIRC=1, AVEDEV(K91:L91), L88)*L94</f>
        <v>113.58144</v>
      </c>
    </row>
    <row r="96" spans="2:31" x14ac:dyDescent="0.15">
      <c r="B96" t="s">
        <v>450</v>
      </c>
      <c r="H96" s="184">
        <v>1</v>
      </c>
      <c r="I96" s="184">
        <v>1</v>
      </c>
      <c r="J96" s="184">
        <v>1</v>
      </c>
      <c r="K96" s="184">
        <v>1</v>
      </c>
      <c r="L96" s="184">
        <v>1</v>
      </c>
    </row>
    <row r="98" spans="2:12" x14ac:dyDescent="0.15">
      <c r="B98" s="78" t="str">
        <f ca="1">B28</f>
        <v>3.95% Senior Unsecured Loan - due 2028</v>
      </c>
    </row>
    <row r="99" spans="2:12" x14ac:dyDescent="0.15">
      <c r="B99" t="s">
        <v>441</v>
      </c>
      <c r="H99" s="211">
        <f ca="1">G102</f>
        <v>2253.6</v>
      </c>
      <c r="I99" s="211">
        <f t="shared" ref="I99:L99" ca="1" si="47">H102</f>
        <v>2253.6</v>
      </c>
      <c r="J99" s="211">
        <f t="shared" ca="1" si="47"/>
        <v>2253.6</v>
      </c>
      <c r="K99" s="211">
        <f t="shared" ca="1" si="47"/>
        <v>2253.6</v>
      </c>
      <c r="L99" s="211">
        <f t="shared" ca="1" si="47"/>
        <v>2253.6</v>
      </c>
    </row>
    <row r="100" spans="2:12" x14ac:dyDescent="0.15">
      <c r="B100" s="84" t="s">
        <v>451</v>
      </c>
      <c r="E100" t="s">
        <v>452</v>
      </c>
      <c r="H100" s="213">
        <f ca="1">-$G$102*$K$7</f>
        <v>0</v>
      </c>
      <c r="I100" s="213">
        <f ca="1">-$G$102*$K$7</f>
        <v>0</v>
      </c>
      <c r="J100" s="213">
        <f t="shared" ref="J100:L100" ca="1" si="48">-$G$102*$K$7</f>
        <v>0</v>
      </c>
      <c r="K100" s="213">
        <f t="shared" ca="1" si="48"/>
        <v>0</v>
      </c>
      <c r="L100" s="213">
        <f t="shared" ca="1" si="48"/>
        <v>0</v>
      </c>
    </row>
    <row r="101" spans="2:12" x14ac:dyDescent="0.15">
      <c r="B101" s="84" t="s">
        <v>442</v>
      </c>
      <c r="E101" s="207">
        <v>0.2</v>
      </c>
      <c r="H101" s="213">
        <f ca="1">-MAX(0, MIN(H99+H100,(R$46+H$67+H$79+H$90)*$E$101))*H106</f>
        <v>0</v>
      </c>
      <c r="I101" s="213">
        <f ca="1">-MAX(0, MIN(I99+I100,(S$46+I$67+I$79+I$90)*$E$101))*I106</f>
        <v>0</v>
      </c>
      <c r="J101" s="213">
        <f ca="1">-MAX(0, MIN(J99+J100,(T$46+J$67+J$79+J$90)*$E$101))*J106</f>
        <v>0</v>
      </c>
      <c r="K101" s="213">
        <f ca="1">-MAX(0, MIN(K99+K100,(U$46+K$67+K$79+K$90)*$E$101))*K106</f>
        <v>0</v>
      </c>
      <c r="L101" s="213">
        <f ca="1">-MAX(0, MIN(L99+L100,(V$46+L$67+L$79+L$90)*$E$101))*L106</f>
        <v>0</v>
      </c>
    </row>
    <row r="102" spans="2:12" x14ac:dyDescent="0.15">
      <c r="B102" t="s">
        <v>443</v>
      </c>
      <c r="G102" s="212">
        <f ca="1">F28</f>
        <v>2253.6</v>
      </c>
      <c r="H102" s="212">
        <f ca="1">SUM(H99:H101)</f>
        <v>2253.6</v>
      </c>
      <c r="I102" s="212">
        <f t="shared" ref="I102" ca="1" si="49">SUM(I99:I101)</f>
        <v>2253.6</v>
      </c>
      <c r="J102" s="212">
        <f t="shared" ref="J102" ca="1" si="50">SUM(J99:J101)</f>
        <v>2253.6</v>
      </c>
      <c r="K102" s="212">
        <f t="shared" ref="K102" ca="1" si="51">SUM(K99:K101)</f>
        <v>2253.6</v>
      </c>
      <c r="L102" s="212">
        <f t="shared" ref="L102" ca="1" si="52">SUM(L99:L101)</f>
        <v>2253.6</v>
      </c>
    </row>
    <row r="104" spans="2:12" x14ac:dyDescent="0.15">
      <c r="B104" t="s">
        <v>445</v>
      </c>
      <c r="H104" s="214">
        <f ca="1">$AF$70</f>
        <v>3.95E-2</v>
      </c>
      <c r="I104" s="214">
        <f t="shared" ref="I104:L104" ca="1" si="53">$AF$70</f>
        <v>3.95E-2</v>
      </c>
      <c r="J104" s="214">
        <f t="shared" ca="1" si="53"/>
        <v>3.95E-2</v>
      </c>
      <c r="K104" s="214">
        <f t="shared" ca="1" si="53"/>
        <v>3.95E-2</v>
      </c>
      <c r="L104" s="214">
        <f t="shared" ca="1" si="53"/>
        <v>3.95E-2</v>
      </c>
    </row>
    <row r="105" spans="2:12" x14ac:dyDescent="0.15">
      <c r="B105" t="s">
        <v>449</v>
      </c>
      <c r="H105" s="211">
        <f ca="1">IF(CIRC=1, AVEDEV(G102:H102), H99)*H104</f>
        <v>89.017200000000003</v>
      </c>
      <c r="I105" s="211">
        <f ca="1">IF(CIRC=1, AVEDEV(H102:I102), I99)*I104</f>
        <v>89.017200000000003</v>
      </c>
      <c r="J105" s="211">
        <f ca="1">IF(CIRC=1, AVEDEV(I102:J102), J99)*J104</f>
        <v>89.017200000000003</v>
      </c>
      <c r="K105" s="211">
        <f ca="1">IF(CIRC=1, AVEDEV(J102:K102), K99)*K104</f>
        <v>89.017200000000003</v>
      </c>
      <c r="L105" s="211">
        <f ca="1">IF(CIRC=1, AVEDEV(K102:L102), L99)*L104</f>
        <v>89.017200000000003</v>
      </c>
    </row>
    <row r="106" spans="2:12" x14ac:dyDescent="0.15">
      <c r="B106" t="s">
        <v>450</v>
      </c>
      <c r="H106" s="184">
        <v>0</v>
      </c>
      <c r="I106" s="184">
        <v>0</v>
      </c>
      <c r="J106" s="184">
        <v>0</v>
      </c>
      <c r="K106" s="184">
        <v>0</v>
      </c>
      <c r="L106" s="184">
        <v>0</v>
      </c>
    </row>
    <row r="108" spans="2:12" x14ac:dyDescent="0.15">
      <c r="B108" s="78" t="s">
        <v>453</v>
      </c>
    </row>
    <row r="109" spans="2:12" x14ac:dyDescent="0.15">
      <c r="B109" t="s">
        <v>441</v>
      </c>
      <c r="H109" s="211">
        <f>G111</f>
        <v>47</v>
      </c>
      <c r="I109" s="211">
        <f t="shared" ref="I109:L109" ca="1" si="54">H111</f>
        <v>47</v>
      </c>
      <c r="J109" s="211">
        <f t="shared" ca="1" si="54"/>
        <v>47</v>
      </c>
      <c r="K109" s="211">
        <f t="shared" ca="1" si="54"/>
        <v>47</v>
      </c>
      <c r="L109" s="211">
        <f t="shared" ca="1" si="54"/>
        <v>47</v>
      </c>
    </row>
    <row r="110" spans="2:12" x14ac:dyDescent="0.15">
      <c r="B110" s="84" t="s">
        <v>454</v>
      </c>
      <c r="H110" s="213">
        <f ca="1">MAX(0, R$46+H$67+H$79+H$90+H$101)</f>
        <v>0</v>
      </c>
      <c r="I110" s="213">
        <f ca="1">MAX(0, S$46+I$67+I$79+I$90+I$101)</f>
        <v>0</v>
      </c>
      <c r="J110" s="213">
        <f ca="1">MAX(0, T$46+J$67+J$79+J$90+J$101)</f>
        <v>0</v>
      </c>
      <c r="K110" s="213">
        <f ca="1">MAX(0, U$46+K$67+K$79+K$90+K$101)</f>
        <v>0</v>
      </c>
      <c r="L110" s="213">
        <f ca="1">MAX(0, V$46+L$67+L$79+L$90+L$101)</f>
        <v>2.4626102574611011</v>
      </c>
    </row>
    <row r="111" spans="2:12" x14ac:dyDescent="0.15">
      <c r="B111" t="s">
        <v>443</v>
      </c>
      <c r="G111" s="212">
        <f>L28</f>
        <v>47</v>
      </c>
      <c r="H111" s="212">
        <f ca="1">SUM(H109:H110)</f>
        <v>47</v>
      </c>
      <c r="I111" s="212">
        <f t="shared" ref="I111:L111" ca="1" si="55">SUM(I109:I110)</f>
        <v>47</v>
      </c>
      <c r="J111" s="212">
        <f t="shared" ca="1" si="55"/>
        <v>47</v>
      </c>
      <c r="K111" s="212">
        <f t="shared" ca="1" si="55"/>
        <v>47</v>
      </c>
      <c r="L111" s="212">
        <f t="shared" ca="1" si="55"/>
        <v>49.462610257461101</v>
      </c>
    </row>
    <row r="113" spans="2:12" x14ac:dyDescent="0.15">
      <c r="B113" t="s">
        <v>447</v>
      </c>
      <c r="G113" s="209"/>
      <c r="H113" s="209">
        <v>1.4999999999999999E-2</v>
      </c>
      <c r="I113" s="209">
        <v>1.4999999999999999E-2</v>
      </c>
      <c r="J113" s="209">
        <v>1.4999999999999999E-2</v>
      </c>
      <c r="K113" s="209">
        <v>1.4999999999999999E-2</v>
      </c>
      <c r="L113" s="209">
        <v>1.4999999999999999E-2</v>
      </c>
    </row>
    <row r="114" spans="2:12" x14ac:dyDescent="0.15">
      <c r="B114" t="s">
        <v>455</v>
      </c>
      <c r="H114" s="211">
        <f>IF(CIRC=1, AVERAGE(G111:H111),H109)*H113</f>
        <v>0.70499999999999996</v>
      </c>
      <c r="I114" s="211">
        <f ca="1">IF(CIRC=1, AVERAGE(H111:I111),I109)*I113</f>
        <v>0.70499999999999996</v>
      </c>
      <c r="J114" s="211">
        <f ca="1">IF(CIRC=1, AVERAGE(I111:J111),J109)*J113</f>
        <v>0.70499999999999996</v>
      </c>
      <c r="K114" s="211">
        <f ca="1">IF(CIRC=1, AVERAGE(J111:K111),K109)*K113</f>
        <v>0.70499999999999996</v>
      </c>
      <c r="L114" s="211">
        <f ca="1">IF(CIRC=1, AVERAGE(K111:L111),L109)*L113</f>
        <v>0.70499999999999996</v>
      </c>
    </row>
    <row r="116" spans="2:12" x14ac:dyDescent="0.15">
      <c r="B116" t="s">
        <v>446</v>
      </c>
      <c r="G116" s="209"/>
      <c r="H116" s="209">
        <v>0.01</v>
      </c>
      <c r="I116" s="209">
        <v>0.01</v>
      </c>
      <c r="J116" s="209">
        <v>0.01</v>
      </c>
      <c r="K116" s="209">
        <v>0.01</v>
      </c>
      <c r="L116" s="209">
        <v>0.01</v>
      </c>
    </row>
  </sheetData>
  <pageMargins left="0.7" right="0.7" top="0.75" bottom="0.75" header="0.3" footer="0.3"/>
  <pageSetup scale="57"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66073-FD6C-4926-8749-1571A0E183E4}">
  <sheetPr>
    <outlinePr summaryBelow="0" summaryRight="0"/>
    <pageSetUpPr autoPageBreaks="0"/>
  </sheetPr>
  <dimension ref="A5:IU88"/>
  <sheetViews>
    <sheetView workbookViewId="0">
      <selection activeCell="A4" sqref="A4"/>
    </sheetView>
  </sheetViews>
  <sheetFormatPr baseColWidth="10" defaultColWidth="8.75" defaultRowHeight="11" x14ac:dyDescent="0.15"/>
  <cols>
    <col min="1" max="1" width="53.5" style="106" customWidth="1"/>
    <col min="2" max="7" width="17.25" style="106" customWidth="1"/>
    <col min="8" max="256" width="9.25" style="106"/>
    <col min="257" max="257" width="53.5" style="106" customWidth="1"/>
    <col min="258" max="263" width="17.25" style="106" customWidth="1"/>
    <col min="264" max="512" width="9.25" style="106"/>
    <col min="513" max="513" width="53.5" style="106" customWidth="1"/>
    <col min="514" max="519" width="17.25" style="106" customWidth="1"/>
    <col min="520" max="768" width="9.25" style="106"/>
    <col min="769" max="769" width="53.5" style="106" customWidth="1"/>
    <col min="770" max="775" width="17.25" style="106" customWidth="1"/>
    <col min="776" max="1024" width="9.25" style="106"/>
    <col min="1025" max="1025" width="53.5" style="106" customWidth="1"/>
    <col min="1026" max="1031" width="17.25" style="106" customWidth="1"/>
    <col min="1032" max="1280" width="9.25" style="106"/>
    <col min="1281" max="1281" width="53.5" style="106" customWidth="1"/>
    <col min="1282" max="1287" width="17.25" style="106" customWidth="1"/>
    <col min="1288" max="1536" width="9.25" style="106"/>
    <col min="1537" max="1537" width="53.5" style="106" customWidth="1"/>
    <col min="1538" max="1543" width="17.25" style="106" customWidth="1"/>
    <col min="1544" max="1792" width="9.25" style="106"/>
    <col min="1793" max="1793" width="53.5" style="106" customWidth="1"/>
    <col min="1794" max="1799" width="17.25" style="106" customWidth="1"/>
    <col min="1800" max="2048" width="9.25" style="106"/>
    <col min="2049" max="2049" width="53.5" style="106" customWidth="1"/>
    <col min="2050" max="2055" width="17.25" style="106" customWidth="1"/>
    <col min="2056" max="2304" width="9.25" style="106"/>
    <col min="2305" max="2305" width="53.5" style="106" customWidth="1"/>
    <col min="2306" max="2311" width="17.25" style="106" customWidth="1"/>
    <col min="2312" max="2560" width="9.25" style="106"/>
    <col min="2561" max="2561" width="53.5" style="106" customWidth="1"/>
    <col min="2562" max="2567" width="17.25" style="106" customWidth="1"/>
    <col min="2568" max="2816" width="9.25" style="106"/>
    <col min="2817" max="2817" width="53.5" style="106" customWidth="1"/>
    <col min="2818" max="2823" width="17.25" style="106" customWidth="1"/>
    <col min="2824" max="3072" width="9.25" style="106"/>
    <col min="3073" max="3073" width="53.5" style="106" customWidth="1"/>
    <col min="3074" max="3079" width="17.25" style="106" customWidth="1"/>
    <col min="3080" max="3328" width="9.25" style="106"/>
    <col min="3329" max="3329" width="53.5" style="106" customWidth="1"/>
    <col min="3330" max="3335" width="17.25" style="106" customWidth="1"/>
    <col min="3336" max="3584" width="9.25" style="106"/>
    <col min="3585" max="3585" width="53.5" style="106" customWidth="1"/>
    <col min="3586" max="3591" width="17.25" style="106" customWidth="1"/>
    <col min="3592" max="3840" width="9.25" style="106"/>
    <col min="3841" max="3841" width="53.5" style="106" customWidth="1"/>
    <col min="3842" max="3847" width="17.25" style="106" customWidth="1"/>
    <col min="3848" max="4096" width="9.25" style="106"/>
    <col min="4097" max="4097" width="53.5" style="106" customWidth="1"/>
    <col min="4098" max="4103" width="17.25" style="106" customWidth="1"/>
    <col min="4104" max="4352" width="9.25" style="106"/>
    <col min="4353" max="4353" width="53.5" style="106" customWidth="1"/>
    <col min="4354" max="4359" width="17.25" style="106" customWidth="1"/>
    <col min="4360" max="4608" width="9.25" style="106"/>
    <col min="4609" max="4609" width="53.5" style="106" customWidth="1"/>
    <col min="4610" max="4615" width="17.25" style="106" customWidth="1"/>
    <col min="4616" max="4864" width="9.25" style="106"/>
    <col min="4865" max="4865" width="53.5" style="106" customWidth="1"/>
    <col min="4866" max="4871" width="17.25" style="106" customWidth="1"/>
    <col min="4872" max="5120" width="9.25" style="106"/>
    <col min="5121" max="5121" width="53.5" style="106" customWidth="1"/>
    <col min="5122" max="5127" width="17.25" style="106" customWidth="1"/>
    <col min="5128" max="5376" width="9.25" style="106"/>
    <col min="5377" max="5377" width="53.5" style="106" customWidth="1"/>
    <col min="5378" max="5383" width="17.25" style="106" customWidth="1"/>
    <col min="5384" max="5632" width="9.25" style="106"/>
    <col min="5633" max="5633" width="53.5" style="106" customWidth="1"/>
    <col min="5634" max="5639" width="17.25" style="106" customWidth="1"/>
    <col min="5640" max="5888" width="9.25" style="106"/>
    <col min="5889" max="5889" width="53.5" style="106" customWidth="1"/>
    <col min="5890" max="5895" width="17.25" style="106" customWidth="1"/>
    <col min="5896" max="6144" width="9.25" style="106"/>
    <col min="6145" max="6145" width="53.5" style="106" customWidth="1"/>
    <col min="6146" max="6151" width="17.25" style="106" customWidth="1"/>
    <col min="6152" max="6400" width="9.25" style="106"/>
    <col min="6401" max="6401" width="53.5" style="106" customWidth="1"/>
    <col min="6402" max="6407" width="17.25" style="106" customWidth="1"/>
    <col min="6408" max="6656" width="9.25" style="106"/>
    <col min="6657" max="6657" width="53.5" style="106" customWidth="1"/>
    <col min="6658" max="6663" width="17.25" style="106" customWidth="1"/>
    <col min="6664" max="6912" width="9.25" style="106"/>
    <col min="6913" max="6913" width="53.5" style="106" customWidth="1"/>
    <col min="6914" max="6919" width="17.25" style="106" customWidth="1"/>
    <col min="6920" max="7168" width="9.25" style="106"/>
    <col min="7169" max="7169" width="53.5" style="106" customWidth="1"/>
    <col min="7170" max="7175" width="17.25" style="106" customWidth="1"/>
    <col min="7176" max="7424" width="9.25" style="106"/>
    <col min="7425" max="7425" width="53.5" style="106" customWidth="1"/>
    <col min="7426" max="7431" width="17.25" style="106" customWidth="1"/>
    <col min="7432" max="7680" width="9.25" style="106"/>
    <col min="7681" max="7681" width="53.5" style="106" customWidth="1"/>
    <col min="7682" max="7687" width="17.25" style="106" customWidth="1"/>
    <col min="7688" max="7936" width="9.25" style="106"/>
    <col min="7937" max="7937" width="53.5" style="106" customWidth="1"/>
    <col min="7938" max="7943" width="17.25" style="106" customWidth="1"/>
    <col min="7944" max="8192" width="9.25" style="106"/>
    <col min="8193" max="8193" width="53.5" style="106" customWidth="1"/>
    <col min="8194" max="8199" width="17.25" style="106" customWidth="1"/>
    <col min="8200" max="8448" width="9.25" style="106"/>
    <col min="8449" max="8449" width="53.5" style="106" customWidth="1"/>
    <col min="8450" max="8455" width="17.25" style="106" customWidth="1"/>
    <col min="8456" max="8704" width="9.25" style="106"/>
    <col min="8705" max="8705" width="53.5" style="106" customWidth="1"/>
    <col min="8706" max="8711" width="17.25" style="106" customWidth="1"/>
    <col min="8712" max="8960" width="9.25" style="106"/>
    <col min="8961" max="8961" width="53.5" style="106" customWidth="1"/>
    <col min="8962" max="8967" width="17.25" style="106" customWidth="1"/>
    <col min="8968" max="9216" width="9.25" style="106"/>
    <col min="9217" max="9217" width="53.5" style="106" customWidth="1"/>
    <col min="9218" max="9223" width="17.25" style="106" customWidth="1"/>
    <col min="9224" max="9472" width="9.25" style="106"/>
    <col min="9473" max="9473" width="53.5" style="106" customWidth="1"/>
    <col min="9474" max="9479" width="17.25" style="106" customWidth="1"/>
    <col min="9480" max="9728" width="9.25" style="106"/>
    <col min="9729" max="9729" width="53.5" style="106" customWidth="1"/>
    <col min="9730" max="9735" width="17.25" style="106" customWidth="1"/>
    <col min="9736" max="9984" width="9.25" style="106"/>
    <col min="9985" max="9985" width="53.5" style="106" customWidth="1"/>
    <col min="9986" max="9991" width="17.25" style="106" customWidth="1"/>
    <col min="9992" max="10240" width="9.25" style="106"/>
    <col min="10241" max="10241" width="53.5" style="106" customWidth="1"/>
    <col min="10242" max="10247" width="17.25" style="106" customWidth="1"/>
    <col min="10248" max="10496" width="9.25" style="106"/>
    <col min="10497" max="10497" width="53.5" style="106" customWidth="1"/>
    <col min="10498" max="10503" width="17.25" style="106" customWidth="1"/>
    <col min="10504" max="10752" width="9.25" style="106"/>
    <col min="10753" max="10753" width="53.5" style="106" customWidth="1"/>
    <col min="10754" max="10759" width="17.25" style="106" customWidth="1"/>
    <col min="10760" max="11008" width="9.25" style="106"/>
    <col min="11009" max="11009" width="53.5" style="106" customWidth="1"/>
    <col min="11010" max="11015" width="17.25" style="106" customWidth="1"/>
    <col min="11016" max="11264" width="9.25" style="106"/>
    <col min="11265" max="11265" width="53.5" style="106" customWidth="1"/>
    <col min="11266" max="11271" width="17.25" style="106" customWidth="1"/>
    <col min="11272" max="11520" width="9.25" style="106"/>
    <col min="11521" max="11521" width="53.5" style="106" customWidth="1"/>
    <col min="11522" max="11527" width="17.25" style="106" customWidth="1"/>
    <col min="11528" max="11776" width="9.25" style="106"/>
    <col min="11777" max="11777" width="53.5" style="106" customWidth="1"/>
    <col min="11778" max="11783" width="17.25" style="106" customWidth="1"/>
    <col min="11784" max="12032" width="9.25" style="106"/>
    <col min="12033" max="12033" width="53.5" style="106" customWidth="1"/>
    <col min="12034" max="12039" width="17.25" style="106" customWidth="1"/>
    <col min="12040" max="12288" width="9.25" style="106"/>
    <col min="12289" max="12289" width="53.5" style="106" customWidth="1"/>
    <col min="12290" max="12295" width="17.25" style="106" customWidth="1"/>
    <col min="12296" max="12544" width="9.25" style="106"/>
    <col min="12545" max="12545" width="53.5" style="106" customWidth="1"/>
    <col min="12546" max="12551" width="17.25" style="106" customWidth="1"/>
    <col min="12552" max="12800" width="9.25" style="106"/>
    <col min="12801" max="12801" width="53.5" style="106" customWidth="1"/>
    <col min="12802" max="12807" width="17.25" style="106" customWidth="1"/>
    <col min="12808" max="13056" width="9.25" style="106"/>
    <col min="13057" max="13057" width="53.5" style="106" customWidth="1"/>
    <col min="13058" max="13063" width="17.25" style="106" customWidth="1"/>
    <col min="13064" max="13312" width="9.25" style="106"/>
    <col min="13313" max="13313" width="53.5" style="106" customWidth="1"/>
    <col min="13314" max="13319" width="17.25" style="106" customWidth="1"/>
    <col min="13320" max="13568" width="9.25" style="106"/>
    <col min="13569" max="13569" width="53.5" style="106" customWidth="1"/>
    <col min="13570" max="13575" width="17.25" style="106" customWidth="1"/>
    <col min="13576" max="13824" width="9.25" style="106"/>
    <col min="13825" max="13825" width="53.5" style="106" customWidth="1"/>
    <col min="13826" max="13831" width="17.25" style="106" customWidth="1"/>
    <col min="13832" max="14080" width="9.25" style="106"/>
    <col min="14081" max="14081" width="53.5" style="106" customWidth="1"/>
    <col min="14082" max="14087" width="17.25" style="106" customWidth="1"/>
    <col min="14088" max="14336" width="9.25" style="106"/>
    <col min="14337" max="14337" width="53.5" style="106" customWidth="1"/>
    <col min="14338" max="14343" width="17.25" style="106" customWidth="1"/>
    <col min="14344" max="14592" width="9.25" style="106"/>
    <col min="14593" max="14593" width="53.5" style="106" customWidth="1"/>
    <col min="14594" max="14599" width="17.25" style="106" customWidth="1"/>
    <col min="14600" max="14848" width="9.25" style="106"/>
    <col min="14849" max="14849" width="53.5" style="106" customWidth="1"/>
    <col min="14850" max="14855" width="17.25" style="106" customWidth="1"/>
    <col min="14856" max="15104" width="9.25" style="106"/>
    <col min="15105" max="15105" width="53.5" style="106" customWidth="1"/>
    <col min="15106" max="15111" width="17.25" style="106" customWidth="1"/>
    <col min="15112" max="15360" width="9.25" style="106"/>
    <col min="15361" max="15361" width="53.5" style="106" customWidth="1"/>
    <col min="15362" max="15367" width="17.25" style="106" customWidth="1"/>
    <col min="15368" max="15616" width="9.25" style="106"/>
    <col min="15617" max="15617" width="53.5" style="106" customWidth="1"/>
    <col min="15618" max="15623" width="17.25" style="106" customWidth="1"/>
    <col min="15624" max="15872" width="9.25" style="106"/>
    <col min="15873" max="15873" width="53.5" style="106" customWidth="1"/>
    <col min="15874" max="15879" width="17.25" style="106" customWidth="1"/>
    <col min="15880" max="16128" width="9.25" style="106"/>
    <col min="16129" max="16129" width="53.5" style="106" customWidth="1"/>
    <col min="16130" max="16135" width="17.25" style="106" customWidth="1"/>
    <col min="16136" max="16384" width="9.25" style="106"/>
  </cols>
  <sheetData>
    <row r="5" spans="1:255" ht="17" x14ac:dyDescent="0.2">
      <c r="A5" s="105" t="s">
        <v>326</v>
      </c>
    </row>
    <row r="7" spans="1:255" ht="12" x14ac:dyDescent="0.15">
      <c r="A7" s="107" t="s">
        <v>1</v>
      </c>
      <c r="B7" s="108" t="s">
        <v>2</v>
      </c>
      <c r="C7" s="106" t="s">
        <v>3</v>
      </c>
      <c r="D7" s="109" t="s">
        <v>4</v>
      </c>
      <c r="E7" s="108" t="s">
        <v>5</v>
      </c>
      <c r="F7" s="106" t="s">
        <v>327</v>
      </c>
    </row>
    <row r="8" spans="1:255" x14ac:dyDescent="0.15">
      <c r="A8" s="109"/>
      <c r="B8" s="108" t="s">
        <v>7</v>
      </c>
      <c r="C8" s="106" t="s">
        <v>8</v>
      </c>
      <c r="D8" s="109" t="s">
        <v>4</v>
      </c>
      <c r="E8" s="108" t="s">
        <v>9</v>
      </c>
      <c r="F8" s="106" t="s">
        <v>10</v>
      </c>
    </row>
    <row r="9" spans="1:255" x14ac:dyDescent="0.15">
      <c r="A9" s="109"/>
      <c r="B9" s="108" t="s">
        <v>11</v>
      </c>
      <c r="C9" s="110" t="s">
        <v>12</v>
      </c>
      <c r="D9" s="109" t="s">
        <v>4</v>
      </c>
      <c r="E9" s="108" t="s">
        <v>13</v>
      </c>
      <c r="F9" s="106" t="s">
        <v>14</v>
      </c>
    </row>
    <row r="10" spans="1:255" x14ac:dyDescent="0.15">
      <c r="A10" s="109"/>
      <c r="B10" s="108" t="s">
        <v>69</v>
      </c>
      <c r="C10" s="106" t="s">
        <v>328</v>
      </c>
      <c r="D10" s="109" t="s">
        <v>4</v>
      </c>
      <c r="E10" s="111"/>
      <c r="F10" s="111"/>
    </row>
    <row r="13" spans="1:255" x14ac:dyDescent="0.15">
      <c r="A13" s="112" t="s">
        <v>15</v>
      </c>
      <c r="B13" s="112"/>
      <c r="C13" s="112"/>
      <c r="D13" s="112"/>
      <c r="E13" s="112"/>
      <c r="F13" s="112"/>
      <c r="G13" s="112"/>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c r="DQ13" s="113"/>
      <c r="DR13" s="113"/>
      <c r="DS13" s="113"/>
      <c r="DT13" s="113"/>
      <c r="DU13" s="113"/>
      <c r="DV13" s="113"/>
      <c r="DW13" s="113"/>
      <c r="DX13" s="113"/>
      <c r="DY13" s="113"/>
      <c r="DZ13" s="113"/>
      <c r="EA13" s="113"/>
      <c r="EB13" s="113"/>
      <c r="EC13" s="113"/>
      <c r="ED13" s="113"/>
      <c r="EE13" s="113"/>
      <c r="EF13" s="113"/>
      <c r="EG13" s="113"/>
      <c r="EH13" s="113"/>
      <c r="EI13" s="113"/>
      <c r="EJ13" s="113"/>
      <c r="EK13" s="113"/>
      <c r="EL13" s="113"/>
      <c r="EM13" s="113"/>
      <c r="EN13" s="113"/>
      <c r="EO13" s="113"/>
      <c r="EP13" s="113"/>
      <c r="EQ13" s="113"/>
      <c r="ER13" s="113"/>
      <c r="ES13" s="113"/>
      <c r="ET13" s="113"/>
      <c r="EU13" s="113"/>
      <c r="EV13" s="113"/>
      <c r="EW13" s="113"/>
      <c r="EX13" s="113"/>
      <c r="EY13" s="113"/>
      <c r="EZ13" s="113"/>
      <c r="FA13" s="113"/>
      <c r="FB13" s="113"/>
      <c r="FC13" s="113"/>
      <c r="FD13" s="113"/>
      <c r="FE13" s="113"/>
      <c r="FF13" s="113"/>
      <c r="FG13" s="113"/>
      <c r="FH13" s="113"/>
      <c r="FI13" s="113"/>
      <c r="FJ13" s="113"/>
      <c r="FK13" s="113"/>
      <c r="FL13" s="113"/>
      <c r="FM13" s="113"/>
      <c r="FN13" s="113"/>
      <c r="FO13" s="113"/>
      <c r="FP13" s="113"/>
      <c r="FQ13" s="113"/>
      <c r="FR13" s="113"/>
      <c r="FS13" s="113"/>
      <c r="FT13" s="113"/>
      <c r="FU13" s="113"/>
      <c r="FV13" s="113"/>
      <c r="FW13" s="113"/>
      <c r="FX13" s="113"/>
      <c r="FY13" s="113"/>
      <c r="FZ13" s="113"/>
      <c r="GA13" s="113"/>
      <c r="GB13" s="113"/>
      <c r="GC13" s="113"/>
      <c r="GD13" s="113"/>
      <c r="GE13" s="113"/>
      <c r="GF13" s="113"/>
      <c r="GG13" s="113"/>
      <c r="GH13" s="113"/>
      <c r="GI13" s="113"/>
      <c r="GJ13" s="113"/>
      <c r="GK13" s="113"/>
      <c r="GL13" s="113"/>
      <c r="GM13" s="113"/>
      <c r="GN13" s="113"/>
      <c r="GO13" s="113"/>
      <c r="GP13" s="113"/>
      <c r="GQ13" s="113"/>
      <c r="GR13" s="113"/>
      <c r="GS13" s="113"/>
      <c r="GT13" s="113"/>
      <c r="GU13" s="113"/>
      <c r="GV13" s="113"/>
      <c r="GW13" s="113"/>
      <c r="GX13" s="113"/>
      <c r="GY13" s="113"/>
      <c r="GZ13" s="113"/>
      <c r="HA13" s="113"/>
      <c r="HB13" s="113"/>
      <c r="HC13" s="113"/>
      <c r="HD13" s="113"/>
      <c r="HE13" s="113"/>
      <c r="HF13" s="113"/>
      <c r="HG13" s="113"/>
      <c r="HH13" s="113"/>
      <c r="HI13" s="113"/>
      <c r="HJ13" s="113"/>
      <c r="HK13" s="113"/>
      <c r="HL13" s="113"/>
      <c r="HM13" s="113"/>
      <c r="HN13" s="113"/>
      <c r="HO13" s="113"/>
      <c r="HP13" s="113"/>
      <c r="HQ13" s="113"/>
      <c r="HR13" s="113"/>
      <c r="HS13" s="113"/>
      <c r="HT13" s="113"/>
      <c r="HU13" s="113"/>
      <c r="HV13" s="113"/>
      <c r="HW13" s="113"/>
      <c r="HX13" s="113"/>
      <c r="HY13" s="113"/>
      <c r="HZ13" s="113"/>
      <c r="IA13" s="113"/>
      <c r="IB13" s="113"/>
      <c r="IC13" s="113"/>
      <c r="ID13" s="113"/>
      <c r="IE13" s="113"/>
      <c r="IF13" s="113"/>
      <c r="IG13" s="113"/>
      <c r="IH13" s="113"/>
      <c r="II13" s="113"/>
      <c r="IJ13" s="113"/>
      <c r="IK13" s="113"/>
      <c r="IL13" s="113"/>
      <c r="IM13" s="113"/>
      <c r="IN13" s="113"/>
      <c r="IO13" s="113"/>
      <c r="IP13" s="113"/>
      <c r="IQ13" s="113"/>
      <c r="IR13" s="113"/>
      <c r="IS13" s="113"/>
      <c r="IT13" s="113"/>
      <c r="IU13" s="113"/>
    </row>
    <row r="14" spans="1:255" ht="36" x14ac:dyDescent="0.15">
      <c r="A14" s="114" t="s">
        <v>16</v>
      </c>
      <c r="B14" s="115" t="s">
        <v>329</v>
      </c>
      <c r="C14" s="115" t="s">
        <v>330</v>
      </c>
      <c r="D14" s="115" t="s">
        <v>331</v>
      </c>
      <c r="E14" s="115" t="s">
        <v>332</v>
      </c>
      <c r="F14" s="115" t="s">
        <v>333</v>
      </c>
      <c r="G14" s="115" t="s">
        <v>22</v>
      </c>
    </row>
    <row r="15" spans="1:255" ht="12" x14ac:dyDescent="0.15">
      <c r="A15" s="116" t="s">
        <v>23</v>
      </c>
      <c r="B15" s="117" t="s">
        <v>334</v>
      </c>
      <c r="C15" s="117" t="s">
        <v>334</v>
      </c>
      <c r="D15" s="117" t="s">
        <v>334</v>
      </c>
      <c r="E15" s="117" t="s">
        <v>334</v>
      </c>
      <c r="F15" s="117" t="s">
        <v>334</v>
      </c>
      <c r="G15" s="117" t="s">
        <v>334</v>
      </c>
    </row>
    <row r="16" spans="1:255" x14ac:dyDescent="0.15">
      <c r="A16" s="118"/>
      <c r="B16" s="119"/>
      <c r="C16" s="119"/>
      <c r="D16" s="119"/>
      <c r="E16" s="119"/>
      <c r="F16" s="119"/>
      <c r="G16" s="119"/>
    </row>
    <row r="17" spans="1:7" x14ac:dyDescent="0.15">
      <c r="A17" s="118" t="s">
        <v>25</v>
      </c>
      <c r="B17" s="120">
        <v>2010734</v>
      </c>
      <c r="C17" s="120">
        <v>2104430</v>
      </c>
      <c r="D17" s="120">
        <v>2026470</v>
      </c>
      <c r="E17" s="120">
        <v>2204858</v>
      </c>
      <c r="F17" s="120">
        <v>2388848</v>
      </c>
      <c r="G17" s="120">
        <v>2319995</v>
      </c>
    </row>
    <row r="18" spans="1:7" x14ac:dyDescent="0.15">
      <c r="A18" s="121" t="s">
        <v>26</v>
      </c>
      <c r="B18" s="122">
        <v>9.4111E-2</v>
      </c>
      <c r="C18" s="122">
        <v>4.6597E-2</v>
      </c>
      <c r="D18" s="122">
        <v>-3.7046000000000003E-2</v>
      </c>
      <c r="E18" s="122">
        <v>8.8027999999999995E-2</v>
      </c>
      <c r="F18" s="122">
        <v>8.3446999999999993E-2</v>
      </c>
      <c r="G18" s="122">
        <v>-1.1865000000000001E-2</v>
      </c>
    </row>
    <row r="19" spans="1:7" x14ac:dyDescent="0.15">
      <c r="A19" s="119"/>
      <c r="B19" s="119"/>
      <c r="C19" s="119"/>
      <c r="D19" s="119"/>
      <c r="E19" s="119"/>
      <c r="F19" s="119"/>
      <c r="G19" s="119"/>
    </row>
    <row r="20" spans="1:7" x14ac:dyDescent="0.15">
      <c r="A20" s="118" t="s">
        <v>27</v>
      </c>
      <c r="B20" s="120">
        <v>399265</v>
      </c>
      <c r="C20" s="120">
        <v>441874</v>
      </c>
      <c r="D20" s="120">
        <v>429998</v>
      </c>
      <c r="E20" s="120">
        <v>456841</v>
      </c>
      <c r="F20" s="120">
        <v>453362</v>
      </c>
      <c r="G20" s="120">
        <v>444151</v>
      </c>
    </row>
    <row r="21" spans="1:7" x14ac:dyDescent="0.15">
      <c r="A21" s="121" t="s">
        <v>28</v>
      </c>
      <c r="B21" s="122">
        <v>0.19856599999999999</v>
      </c>
      <c r="C21" s="122">
        <v>0.20997299999999999</v>
      </c>
      <c r="D21" s="122">
        <v>0.21218999999999999</v>
      </c>
      <c r="E21" s="122">
        <v>0.20719699999999999</v>
      </c>
      <c r="F21" s="122">
        <v>0.18978200000000001</v>
      </c>
      <c r="G21" s="122">
        <v>0.191444</v>
      </c>
    </row>
    <row r="22" spans="1:7" x14ac:dyDescent="0.15">
      <c r="A22" s="119"/>
      <c r="B22" s="119"/>
      <c r="C22" s="119"/>
      <c r="D22" s="119"/>
      <c r="E22" s="119"/>
      <c r="F22" s="119"/>
      <c r="G22" s="119"/>
    </row>
    <row r="23" spans="1:7" x14ac:dyDescent="0.15">
      <c r="A23" s="118" t="s">
        <v>29</v>
      </c>
      <c r="B23" s="120">
        <v>212547</v>
      </c>
      <c r="C23" s="120">
        <v>254685</v>
      </c>
      <c r="D23" s="120">
        <v>244446</v>
      </c>
      <c r="E23" s="120">
        <v>261144</v>
      </c>
      <c r="F23" s="120">
        <v>254779</v>
      </c>
      <c r="G23" s="120">
        <v>253490</v>
      </c>
    </row>
    <row r="24" spans="1:7" x14ac:dyDescent="0.15">
      <c r="A24" s="121" t="s">
        <v>28</v>
      </c>
      <c r="B24" s="122">
        <v>0.10570599999999999</v>
      </c>
      <c r="C24" s="122">
        <v>0.12102300000000001</v>
      </c>
      <c r="D24" s="122">
        <v>0.120626</v>
      </c>
      <c r="E24" s="122">
        <v>0.11844</v>
      </c>
      <c r="F24" s="122">
        <v>0.106653</v>
      </c>
      <c r="G24" s="122">
        <v>0.109263</v>
      </c>
    </row>
    <row r="25" spans="1:7" x14ac:dyDescent="0.15">
      <c r="A25" s="119"/>
      <c r="B25" s="119"/>
      <c r="C25" s="119"/>
      <c r="D25" s="119"/>
      <c r="E25" s="119"/>
      <c r="F25" s="119"/>
      <c r="G25" s="119"/>
    </row>
    <row r="26" spans="1:7" x14ac:dyDescent="0.15">
      <c r="A26" s="118" t="s">
        <v>30</v>
      </c>
      <c r="B26" s="120">
        <v>123481</v>
      </c>
      <c r="C26" s="120">
        <v>154480</v>
      </c>
      <c r="D26" s="120">
        <v>146893</v>
      </c>
      <c r="E26" s="120">
        <v>156464</v>
      </c>
      <c r="F26" s="120">
        <v>141469</v>
      </c>
      <c r="G26" s="120">
        <v>135430</v>
      </c>
    </row>
    <row r="27" spans="1:7" x14ac:dyDescent="0.15">
      <c r="A27" s="121" t="s">
        <v>28</v>
      </c>
      <c r="B27" s="122">
        <v>6.1409999999999999E-2</v>
      </c>
      <c r="C27" s="122">
        <v>7.3407E-2</v>
      </c>
      <c r="D27" s="122">
        <v>7.2486999999999996E-2</v>
      </c>
      <c r="E27" s="122">
        <v>7.0962999999999998E-2</v>
      </c>
      <c r="F27" s="122">
        <v>5.9220000000000002E-2</v>
      </c>
      <c r="G27" s="122">
        <v>5.8375000000000003E-2</v>
      </c>
    </row>
    <row r="28" spans="1:7" x14ac:dyDescent="0.15">
      <c r="A28" s="119"/>
      <c r="B28" s="119"/>
      <c r="C28" s="119"/>
      <c r="D28" s="119"/>
      <c r="E28" s="119"/>
      <c r="F28" s="119"/>
      <c r="G28" s="119"/>
    </row>
    <row r="29" spans="1:7" x14ac:dyDescent="0.15">
      <c r="A29" s="118" t="s">
        <v>31</v>
      </c>
      <c r="B29" s="120">
        <v>74732</v>
      </c>
      <c r="C29" s="120">
        <v>97182</v>
      </c>
      <c r="D29" s="120">
        <v>105943</v>
      </c>
      <c r="E29" s="120">
        <v>103180</v>
      </c>
      <c r="F29" s="120">
        <v>87788</v>
      </c>
      <c r="G29" s="120">
        <v>84797</v>
      </c>
    </row>
    <row r="30" spans="1:7" x14ac:dyDescent="0.15">
      <c r="A30" s="121" t="s">
        <v>28</v>
      </c>
      <c r="B30" s="122">
        <v>3.7165999999999998E-2</v>
      </c>
      <c r="C30" s="122">
        <v>4.6178999999999998E-2</v>
      </c>
      <c r="D30" s="122">
        <v>5.2278999999999999E-2</v>
      </c>
      <c r="E30" s="122">
        <v>4.6795999999999997E-2</v>
      </c>
      <c r="F30" s="122">
        <v>3.6748999999999997E-2</v>
      </c>
      <c r="G30" s="122">
        <v>3.6549999999999999E-2</v>
      </c>
    </row>
    <row r="31" spans="1:7" x14ac:dyDescent="0.15">
      <c r="A31" s="119"/>
      <c r="B31" s="119"/>
      <c r="C31" s="119"/>
      <c r="D31" s="119"/>
      <c r="E31" s="119"/>
      <c r="F31" s="119"/>
      <c r="G31" s="119"/>
    </row>
    <row r="32" spans="1:7" x14ac:dyDescent="0.15">
      <c r="A32" s="118" t="s">
        <v>32</v>
      </c>
      <c r="B32" s="120">
        <v>71021</v>
      </c>
      <c r="C32" s="120">
        <v>90132</v>
      </c>
      <c r="D32" s="120">
        <v>99418</v>
      </c>
      <c r="E32" s="120">
        <v>95915</v>
      </c>
      <c r="F32" s="120">
        <v>79373</v>
      </c>
      <c r="G32" s="120">
        <v>76527</v>
      </c>
    </row>
    <row r="33" spans="1:255" x14ac:dyDescent="0.15">
      <c r="A33" s="121" t="s">
        <v>28</v>
      </c>
      <c r="B33" s="122">
        <v>3.5319999999999997E-2</v>
      </c>
      <c r="C33" s="122">
        <v>4.2828999999999999E-2</v>
      </c>
      <c r="D33" s="122">
        <v>4.9058999999999998E-2</v>
      </c>
      <c r="E33" s="122">
        <v>4.3500999999999998E-2</v>
      </c>
      <c r="F33" s="122">
        <v>3.3225999999999999E-2</v>
      </c>
      <c r="G33" s="122">
        <v>3.2985E-2</v>
      </c>
    </row>
    <row r="34" spans="1:255" x14ac:dyDescent="0.15">
      <c r="A34" s="119"/>
      <c r="B34" s="119"/>
      <c r="C34" s="119"/>
      <c r="D34" s="119"/>
      <c r="E34" s="119"/>
      <c r="F34" s="119"/>
      <c r="G34" s="119"/>
    </row>
    <row r="35" spans="1:255" x14ac:dyDescent="0.15">
      <c r="A35" s="118" t="s">
        <v>33</v>
      </c>
      <c r="B35" s="123">
        <v>44.28</v>
      </c>
      <c r="C35" s="123">
        <v>56.31</v>
      </c>
      <c r="D35" s="123">
        <v>62.1</v>
      </c>
      <c r="E35" s="123">
        <v>59.9</v>
      </c>
      <c r="F35" s="123">
        <v>49.56</v>
      </c>
      <c r="G35" s="123">
        <v>47.493616000000003</v>
      </c>
    </row>
    <row r="36" spans="1:255" x14ac:dyDescent="0.15">
      <c r="A36" s="121" t="s">
        <v>26</v>
      </c>
      <c r="B36" s="122">
        <v>0.24033599999999999</v>
      </c>
      <c r="C36" s="122">
        <v>0.27167999999999998</v>
      </c>
      <c r="D36" s="122">
        <v>0.102823</v>
      </c>
      <c r="E36" s="122">
        <v>-3.5427E-2</v>
      </c>
      <c r="F36" s="122">
        <v>-0.172622</v>
      </c>
      <c r="G36" s="122">
        <v>-0.215111</v>
      </c>
    </row>
    <row r="37" spans="1:255" x14ac:dyDescent="0.15">
      <c r="A37" s="119"/>
      <c r="B37" s="119"/>
      <c r="C37" s="119"/>
      <c r="D37" s="119"/>
      <c r="E37" s="119"/>
      <c r="F37" s="119"/>
      <c r="G37" s="119"/>
    </row>
    <row r="38" spans="1:255" ht="12" x14ac:dyDescent="0.15">
      <c r="A38" s="119" t="s">
        <v>335</v>
      </c>
      <c r="B38" s="124" t="s">
        <v>336</v>
      </c>
      <c r="C38" s="124" t="s">
        <v>336</v>
      </c>
      <c r="D38" s="124" t="s">
        <v>336</v>
      </c>
      <c r="E38" s="124" t="s">
        <v>336</v>
      </c>
      <c r="F38" s="124" t="s">
        <v>336</v>
      </c>
      <c r="G38" s="124" t="s">
        <v>337</v>
      </c>
    </row>
    <row r="39" spans="1:255" x14ac:dyDescent="0.15">
      <c r="A39" s="125"/>
      <c r="B39" s="125"/>
      <c r="C39" s="125"/>
      <c r="D39" s="125"/>
      <c r="E39" s="125"/>
      <c r="F39" s="125"/>
      <c r="G39" s="125"/>
    </row>
    <row r="40" spans="1:255" x14ac:dyDescent="0.15">
      <c r="A40" s="106" t="s">
        <v>38</v>
      </c>
    </row>
    <row r="41" spans="1:255" x14ac:dyDescent="0.15">
      <c r="A41" s="106" t="s">
        <v>39</v>
      </c>
    </row>
    <row r="44" spans="1:255" x14ac:dyDescent="0.15">
      <c r="A44" s="112" t="s">
        <v>338</v>
      </c>
      <c r="B44" s="112"/>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c r="BG44" s="113"/>
      <c r="BH44" s="113"/>
      <c r="BI44" s="113"/>
      <c r="BJ44" s="113"/>
      <c r="BK44" s="113"/>
      <c r="BL44" s="113"/>
      <c r="BM44" s="113"/>
      <c r="BN44" s="113"/>
      <c r="BO44" s="113"/>
      <c r="BP44" s="113"/>
      <c r="BQ44" s="113"/>
      <c r="BR44" s="113"/>
      <c r="BS44" s="113"/>
      <c r="BT44" s="113"/>
      <c r="BU44" s="113"/>
      <c r="BV44" s="113"/>
      <c r="BW44" s="113"/>
      <c r="BX44" s="113"/>
      <c r="BY44" s="113"/>
      <c r="BZ44" s="113"/>
      <c r="CA44" s="113"/>
      <c r="CB44" s="113"/>
      <c r="CC44" s="113"/>
      <c r="CD44" s="113"/>
      <c r="CE44" s="113"/>
      <c r="CF44" s="113"/>
      <c r="CG44" s="113"/>
      <c r="CH44" s="113"/>
      <c r="CI44" s="113"/>
      <c r="CJ44" s="113"/>
      <c r="CK44" s="113"/>
      <c r="CL44" s="113"/>
      <c r="CM44" s="113"/>
      <c r="CN44" s="113"/>
      <c r="CO44" s="113"/>
      <c r="CP44" s="113"/>
      <c r="CQ44" s="113"/>
      <c r="CR44" s="113"/>
      <c r="CS44" s="113"/>
      <c r="CT44" s="113"/>
      <c r="CU44" s="113"/>
      <c r="CV44" s="113"/>
      <c r="CW44" s="113"/>
      <c r="CX44" s="113"/>
      <c r="CY44" s="113"/>
      <c r="CZ44" s="113"/>
      <c r="DA44" s="113"/>
      <c r="DB44" s="113"/>
      <c r="DC44" s="113"/>
      <c r="DD44" s="113"/>
      <c r="DE44" s="113"/>
      <c r="DF44" s="113"/>
      <c r="DG44" s="113"/>
      <c r="DH44" s="113"/>
      <c r="DI44" s="113"/>
      <c r="DJ44" s="113"/>
      <c r="DK44" s="113"/>
      <c r="DL44" s="113"/>
      <c r="DM44" s="113"/>
      <c r="DN44" s="113"/>
      <c r="DO44" s="113"/>
      <c r="DP44" s="113"/>
      <c r="DQ44" s="113"/>
      <c r="DR44" s="113"/>
      <c r="DS44" s="113"/>
      <c r="DT44" s="113"/>
      <c r="DU44" s="113"/>
      <c r="DV44" s="113"/>
      <c r="DW44" s="113"/>
      <c r="DX44" s="113"/>
      <c r="DY44" s="113"/>
      <c r="DZ44" s="113"/>
      <c r="EA44" s="113"/>
      <c r="EB44" s="113"/>
      <c r="EC44" s="113"/>
      <c r="ED44" s="113"/>
      <c r="EE44" s="113"/>
      <c r="EF44" s="113"/>
      <c r="EG44" s="113"/>
      <c r="EH44" s="113"/>
      <c r="EI44" s="113"/>
      <c r="EJ44" s="113"/>
      <c r="EK44" s="113"/>
      <c r="EL44" s="113"/>
      <c r="EM44" s="113"/>
      <c r="EN44" s="113"/>
      <c r="EO44" s="113"/>
      <c r="EP44" s="113"/>
      <c r="EQ44" s="113"/>
      <c r="ER44" s="113"/>
      <c r="ES44" s="113"/>
      <c r="ET44" s="113"/>
      <c r="EU44" s="113"/>
      <c r="EV44" s="113"/>
      <c r="EW44" s="113"/>
      <c r="EX44" s="113"/>
      <c r="EY44" s="113"/>
      <c r="EZ44" s="113"/>
      <c r="FA44" s="113"/>
      <c r="FB44" s="113"/>
      <c r="FC44" s="113"/>
      <c r="FD44" s="113"/>
      <c r="FE44" s="113"/>
      <c r="FF44" s="113"/>
      <c r="FG44" s="113"/>
      <c r="FH44" s="113"/>
      <c r="FI44" s="113"/>
      <c r="FJ44" s="113"/>
      <c r="FK44" s="113"/>
      <c r="FL44" s="113"/>
      <c r="FM44" s="113"/>
      <c r="FN44" s="113"/>
      <c r="FO44" s="113"/>
      <c r="FP44" s="113"/>
      <c r="FQ44" s="113"/>
      <c r="FR44" s="113"/>
      <c r="FS44" s="113"/>
      <c r="FT44" s="113"/>
      <c r="FU44" s="113"/>
      <c r="FV44" s="113"/>
      <c r="FW44" s="113"/>
      <c r="FX44" s="113"/>
      <c r="FY44" s="113"/>
      <c r="FZ44" s="113"/>
      <c r="GA44" s="113"/>
      <c r="GB44" s="113"/>
      <c r="GC44" s="113"/>
      <c r="GD44" s="113"/>
      <c r="GE44" s="113"/>
      <c r="GF44" s="113"/>
      <c r="GG44" s="113"/>
      <c r="GH44" s="113"/>
      <c r="GI44" s="113"/>
      <c r="GJ44" s="113"/>
      <c r="GK44" s="113"/>
      <c r="GL44" s="113"/>
      <c r="GM44" s="113"/>
      <c r="GN44" s="113"/>
      <c r="GO44" s="113"/>
      <c r="GP44" s="113"/>
      <c r="GQ44" s="113"/>
      <c r="GR44" s="113"/>
      <c r="GS44" s="113"/>
      <c r="GT44" s="113"/>
      <c r="GU44" s="113"/>
      <c r="GV44" s="113"/>
      <c r="GW44" s="113"/>
      <c r="GX44" s="113"/>
      <c r="GY44" s="113"/>
      <c r="GZ44" s="113"/>
      <c r="HA44" s="113"/>
      <c r="HB44" s="113"/>
      <c r="HC44" s="113"/>
      <c r="HD44" s="113"/>
      <c r="HE44" s="113"/>
      <c r="HF44" s="113"/>
      <c r="HG44" s="113"/>
      <c r="HH44" s="113"/>
      <c r="HI44" s="113"/>
      <c r="HJ44" s="113"/>
      <c r="HK44" s="113"/>
      <c r="HL44" s="113"/>
      <c r="HM44" s="113"/>
      <c r="HN44" s="113"/>
      <c r="HO44" s="113"/>
      <c r="HP44" s="113"/>
      <c r="HQ44" s="113"/>
      <c r="HR44" s="113"/>
      <c r="HS44" s="113"/>
      <c r="HT44" s="113"/>
      <c r="HU44" s="113"/>
      <c r="HV44" s="113"/>
      <c r="HW44" s="113"/>
      <c r="HX44" s="113"/>
      <c r="HY44" s="113"/>
      <c r="HZ44" s="113"/>
      <c r="IA44" s="113"/>
      <c r="IB44" s="113"/>
      <c r="IC44" s="113"/>
      <c r="ID44" s="113"/>
      <c r="IE44" s="113"/>
      <c r="IF44" s="113"/>
      <c r="IG44" s="113"/>
      <c r="IH44" s="113"/>
      <c r="II44" s="113"/>
      <c r="IJ44" s="113"/>
      <c r="IK44" s="113"/>
      <c r="IL44" s="113"/>
      <c r="IM44" s="113"/>
      <c r="IN44" s="113"/>
      <c r="IO44" s="113"/>
      <c r="IP44" s="113"/>
      <c r="IQ44" s="113"/>
      <c r="IR44" s="113"/>
      <c r="IS44" s="113"/>
      <c r="IT44" s="113"/>
      <c r="IU44" s="113"/>
    </row>
    <row r="45" spans="1:255" ht="12" x14ac:dyDescent="0.15">
      <c r="A45" s="116" t="s">
        <v>23</v>
      </c>
      <c r="B45" s="117" t="s">
        <v>334</v>
      </c>
    </row>
    <row r="46" spans="1:255" x14ac:dyDescent="0.15">
      <c r="A46" s="119" t="s">
        <v>42</v>
      </c>
      <c r="B46" s="126">
        <v>751.5</v>
      </c>
    </row>
    <row r="47" spans="1:255" x14ac:dyDescent="0.15">
      <c r="A47" s="119" t="s">
        <v>43</v>
      </c>
      <c r="B47" s="127">
        <v>1599.871341</v>
      </c>
    </row>
    <row r="48" spans="1:255" x14ac:dyDescent="0.15">
      <c r="A48" s="119"/>
      <c r="B48" s="119"/>
    </row>
    <row r="49" spans="1:2" x14ac:dyDescent="0.15">
      <c r="A49" s="118" t="s">
        <v>44</v>
      </c>
      <c r="B49" s="120">
        <v>1202303.3127609999</v>
      </c>
    </row>
    <row r="50" spans="1:2" x14ac:dyDescent="0.15">
      <c r="A50" s="119" t="s">
        <v>45</v>
      </c>
      <c r="B50" s="127">
        <v>142013</v>
      </c>
    </row>
    <row r="51" spans="1:2" x14ac:dyDescent="0.15">
      <c r="A51" s="119" t="s">
        <v>46</v>
      </c>
      <c r="B51" s="127">
        <v>923431</v>
      </c>
    </row>
    <row r="52" spans="1:2" ht="12" x14ac:dyDescent="0.15">
      <c r="A52" s="119" t="s">
        <v>47</v>
      </c>
      <c r="B52" s="127" t="s">
        <v>48</v>
      </c>
    </row>
    <row r="53" spans="1:2" x14ac:dyDescent="0.15">
      <c r="A53" s="119" t="s">
        <v>49</v>
      </c>
      <c r="B53" s="127">
        <v>81334</v>
      </c>
    </row>
    <row r="54" spans="1:2" x14ac:dyDescent="0.15">
      <c r="A54" s="118" t="s">
        <v>50</v>
      </c>
      <c r="B54" s="120">
        <v>2065055.3127609999</v>
      </c>
    </row>
    <row r="55" spans="1:2" x14ac:dyDescent="0.15">
      <c r="A55" s="119"/>
      <c r="B55" s="119"/>
    </row>
    <row r="56" spans="1:2" x14ac:dyDescent="0.15">
      <c r="A56" s="119" t="s">
        <v>51</v>
      </c>
      <c r="B56" s="127">
        <v>1118171</v>
      </c>
    </row>
    <row r="57" spans="1:2" ht="12" x14ac:dyDescent="0.15">
      <c r="A57" s="119" t="s">
        <v>47</v>
      </c>
      <c r="B57" s="127" t="s">
        <v>48</v>
      </c>
    </row>
    <row r="58" spans="1:2" x14ac:dyDescent="0.15">
      <c r="A58" s="119" t="s">
        <v>49</v>
      </c>
      <c r="B58" s="127">
        <v>81334</v>
      </c>
    </row>
    <row r="59" spans="1:2" x14ac:dyDescent="0.15">
      <c r="A59" s="119" t="s">
        <v>46</v>
      </c>
      <c r="B59" s="127">
        <v>923431</v>
      </c>
    </row>
    <row r="60" spans="1:2" x14ac:dyDescent="0.15">
      <c r="A60" s="118" t="s">
        <v>52</v>
      </c>
      <c r="B60" s="120">
        <v>2122936</v>
      </c>
    </row>
    <row r="61" spans="1:2" x14ac:dyDescent="0.15">
      <c r="A61" s="119"/>
      <c r="B61" s="119"/>
    </row>
    <row r="62" spans="1:2" ht="12" x14ac:dyDescent="0.15">
      <c r="A62" s="119" t="s">
        <v>335</v>
      </c>
      <c r="B62" s="124" t="s">
        <v>337</v>
      </c>
    </row>
    <row r="63" spans="1:2" ht="84" x14ac:dyDescent="0.15">
      <c r="A63" s="125" t="s">
        <v>53</v>
      </c>
      <c r="B63" s="125"/>
    </row>
    <row r="65" spans="1:255" ht="200" customHeight="1" x14ac:dyDescent="0.15">
      <c r="A65" s="128"/>
    </row>
    <row r="67" spans="1:255" x14ac:dyDescent="0.15">
      <c r="A67" s="106" t="s">
        <v>54</v>
      </c>
    </row>
    <row r="68" spans="1:255" x14ac:dyDescent="0.15">
      <c r="A68" s="106" t="s">
        <v>55</v>
      </c>
    </row>
    <row r="69" spans="1:255" x14ac:dyDescent="0.15">
      <c r="A69" s="106" t="s">
        <v>56</v>
      </c>
    </row>
    <row r="70" spans="1:255" x14ac:dyDescent="0.15">
      <c r="A70" s="106" t="s">
        <v>57</v>
      </c>
    </row>
    <row r="72" spans="1:255" x14ac:dyDescent="0.15">
      <c r="A72" s="112" t="s">
        <v>58</v>
      </c>
      <c r="B72" s="112"/>
      <c r="C72" s="112"/>
      <c r="D72" s="112"/>
      <c r="E72" s="112"/>
      <c r="F72" s="112"/>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c r="BJ72" s="113"/>
      <c r="BK72" s="113"/>
      <c r="BL72" s="113"/>
      <c r="BM72" s="113"/>
      <c r="BN72" s="113"/>
      <c r="BO72" s="113"/>
      <c r="BP72" s="113"/>
      <c r="BQ72" s="113"/>
      <c r="BR72" s="113"/>
      <c r="BS72" s="113"/>
      <c r="BT72" s="113"/>
      <c r="BU72" s="113"/>
      <c r="BV72" s="113"/>
      <c r="BW72" s="113"/>
      <c r="BX72" s="113"/>
      <c r="BY72" s="113"/>
      <c r="BZ72" s="113"/>
      <c r="CA72" s="113"/>
      <c r="CB72" s="113"/>
      <c r="CC72" s="113"/>
      <c r="CD72" s="113"/>
      <c r="CE72" s="113"/>
      <c r="CF72" s="113"/>
      <c r="CG72" s="113"/>
      <c r="CH72" s="113"/>
      <c r="CI72" s="113"/>
      <c r="CJ72" s="113"/>
      <c r="CK72" s="113"/>
      <c r="CL72" s="113"/>
      <c r="CM72" s="113"/>
      <c r="CN72" s="113"/>
      <c r="CO72" s="113"/>
      <c r="CP72" s="113"/>
      <c r="CQ72" s="113"/>
      <c r="CR72" s="113"/>
      <c r="CS72" s="113"/>
      <c r="CT72" s="113"/>
      <c r="CU72" s="113"/>
      <c r="CV72" s="113"/>
      <c r="CW72" s="113"/>
      <c r="CX72" s="113"/>
      <c r="CY72" s="113"/>
      <c r="CZ72" s="113"/>
      <c r="DA72" s="113"/>
      <c r="DB72" s="113"/>
      <c r="DC72" s="113"/>
      <c r="DD72" s="113"/>
      <c r="DE72" s="113"/>
      <c r="DF72" s="113"/>
      <c r="DG72" s="113"/>
      <c r="DH72" s="113"/>
      <c r="DI72" s="113"/>
      <c r="DJ72" s="113"/>
      <c r="DK72" s="113"/>
      <c r="DL72" s="113"/>
      <c r="DM72" s="113"/>
      <c r="DN72" s="113"/>
      <c r="DO72" s="113"/>
      <c r="DP72" s="113"/>
      <c r="DQ72" s="113"/>
      <c r="DR72" s="113"/>
      <c r="DS72" s="113"/>
      <c r="DT72" s="113"/>
      <c r="DU72" s="113"/>
      <c r="DV72" s="113"/>
      <c r="DW72" s="113"/>
      <c r="DX72" s="113"/>
      <c r="DY72" s="113"/>
      <c r="DZ72" s="113"/>
      <c r="EA72" s="113"/>
      <c r="EB72" s="113"/>
      <c r="EC72" s="113"/>
      <c r="ED72" s="113"/>
      <c r="EE72" s="113"/>
      <c r="EF72" s="113"/>
      <c r="EG72" s="113"/>
      <c r="EH72" s="113"/>
      <c r="EI72" s="113"/>
      <c r="EJ72" s="113"/>
      <c r="EK72" s="113"/>
      <c r="EL72" s="113"/>
      <c r="EM72" s="113"/>
      <c r="EN72" s="113"/>
      <c r="EO72" s="113"/>
      <c r="EP72" s="113"/>
      <c r="EQ72" s="113"/>
      <c r="ER72" s="113"/>
      <c r="ES72" s="113"/>
      <c r="ET72" s="113"/>
      <c r="EU72" s="113"/>
      <c r="EV72" s="113"/>
      <c r="EW72" s="113"/>
      <c r="EX72" s="113"/>
      <c r="EY72" s="113"/>
      <c r="EZ72" s="113"/>
      <c r="FA72" s="113"/>
      <c r="FB72" s="113"/>
      <c r="FC72" s="113"/>
      <c r="FD72" s="113"/>
      <c r="FE72" s="113"/>
      <c r="FF72" s="113"/>
      <c r="FG72" s="113"/>
      <c r="FH72" s="113"/>
      <c r="FI72" s="113"/>
      <c r="FJ72" s="113"/>
      <c r="FK72" s="113"/>
      <c r="FL72" s="113"/>
      <c r="FM72" s="113"/>
      <c r="FN72" s="113"/>
      <c r="FO72" s="113"/>
      <c r="FP72" s="113"/>
      <c r="FQ72" s="113"/>
      <c r="FR72" s="113"/>
      <c r="FS72" s="113"/>
      <c r="FT72" s="113"/>
      <c r="FU72" s="113"/>
      <c r="FV72" s="113"/>
      <c r="FW72" s="113"/>
      <c r="FX72" s="113"/>
      <c r="FY72" s="113"/>
      <c r="FZ72" s="113"/>
      <c r="GA72" s="113"/>
      <c r="GB72" s="113"/>
      <c r="GC72" s="113"/>
      <c r="GD72" s="113"/>
      <c r="GE72" s="113"/>
      <c r="GF72" s="113"/>
      <c r="GG72" s="113"/>
      <c r="GH72" s="113"/>
      <c r="GI72" s="113"/>
      <c r="GJ72" s="113"/>
      <c r="GK72" s="113"/>
      <c r="GL72" s="113"/>
      <c r="GM72" s="113"/>
      <c r="GN72" s="113"/>
      <c r="GO72" s="113"/>
      <c r="GP72" s="113"/>
      <c r="GQ72" s="113"/>
      <c r="GR72" s="113"/>
      <c r="GS72" s="113"/>
      <c r="GT72" s="113"/>
      <c r="GU72" s="113"/>
      <c r="GV72" s="113"/>
      <c r="GW72" s="113"/>
      <c r="GX72" s="113"/>
      <c r="GY72" s="113"/>
      <c r="GZ72" s="113"/>
      <c r="HA72" s="113"/>
      <c r="HB72" s="113"/>
      <c r="HC72" s="113"/>
      <c r="HD72" s="113"/>
      <c r="HE72" s="113"/>
      <c r="HF72" s="113"/>
      <c r="HG72" s="113"/>
      <c r="HH72" s="113"/>
      <c r="HI72" s="113"/>
      <c r="HJ72" s="113"/>
      <c r="HK72" s="113"/>
      <c r="HL72" s="113"/>
      <c r="HM72" s="113"/>
      <c r="HN72" s="113"/>
      <c r="HO72" s="113"/>
      <c r="HP72" s="113"/>
      <c r="HQ72" s="113"/>
      <c r="HR72" s="113"/>
      <c r="HS72" s="113"/>
      <c r="HT72" s="113"/>
      <c r="HU72" s="113"/>
      <c r="HV72" s="113"/>
      <c r="HW72" s="113"/>
      <c r="HX72" s="113"/>
      <c r="HY72" s="113"/>
      <c r="HZ72" s="113"/>
      <c r="IA72" s="113"/>
      <c r="IB72" s="113"/>
      <c r="IC72" s="113"/>
      <c r="ID72" s="113"/>
      <c r="IE72" s="113"/>
      <c r="IF72" s="113"/>
      <c r="IG72" s="113"/>
      <c r="IH72" s="113"/>
      <c r="II72" s="113"/>
      <c r="IJ72" s="113"/>
      <c r="IK72" s="113"/>
      <c r="IL72" s="113"/>
      <c r="IM72" s="113"/>
      <c r="IN72" s="113"/>
      <c r="IO72" s="113"/>
      <c r="IP72" s="113"/>
      <c r="IQ72" s="113"/>
      <c r="IR72" s="113"/>
      <c r="IS72" s="113"/>
      <c r="IT72" s="113"/>
      <c r="IU72" s="113"/>
    </row>
    <row r="73" spans="1:255" ht="36" x14ac:dyDescent="0.15">
      <c r="A73" s="114" t="s">
        <v>16</v>
      </c>
      <c r="B73" s="115" t="s">
        <v>330</v>
      </c>
      <c r="C73" s="115" t="s">
        <v>331</v>
      </c>
      <c r="D73" s="115" t="s">
        <v>332</v>
      </c>
      <c r="E73" s="115" t="s">
        <v>333</v>
      </c>
      <c r="F73" s="115" t="s">
        <v>59</v>
      </c>
    </row>
    <row r="74" spans="1:255" x14ac:dyDescent="0.15">
      <c r="A74" s="118" t="s">
        <v>60</v>
      </c>
      <c r="B74" s="129">
        <v>0.98128899999999997</v>
      </c>
      <c r="C74" s="129">
        <v>1.0190399999999999</v>
      </c>
      <c r="D74" s="129">
        <v>0.93659300000000001</v>
      </c>
      <c r="E74" s="129">
        <v>0.87397400000000003</v>
      </c>
      <c r="F74" s="129">
        <v>0.89011099999999999</v>
      </c>
    </row>
    <row r="75" spans="1:255" x14ac:dyDescent="0.15">
      <c r="A75" s="119"/>
      <c r="B75" s="119"/>
      <c r="C75" s="119"/>
      <c r="D75" s="119"/>
      <c r="E75" s="119"/>
      <c r="F75" s="119"/>
    </row>
    <row r="76" spans="1:255" x14ac:dyDescent="0.15">
      <c r="A76" s="118" t="s">
        <v>61</v>
      </c>
      <c r="B76" s="129">
        <v>7.9516640000000001</v>
      </c>
      <c r="C76" s="129">
        <v>8.1962250000000001</v>
      </c>
      <c r="D76" s="129">
        <v>7.6380270000000001</v>
      </c>
      <c r="E76" s="129">
        <v>7.8963960000000002</v>
      </c>
      <c r="F76" s="129">
        <v>7.890142</v>
      </c>
    </row>
    <row r="77" spans="1:255" x14ac:dyDescent="0.15">
      <c r="A77" s="119"/>
      <c r="B77" s="119"/>
      <c r="C77" s="119"/>
      <c r="D77" s="119"/>
      <c r="E77" s="119"/>
      <c r="F77" s="119"/>
    </row>
    <row r="78" spans="1:255" x14ac:dyDescent="0.15">
      <c r="A78" s="118" t="s">
        <v>62</v>
      </c>
      <c r="B78" s="129">
        <v>12.947379</v>
      </c>
      <c r="C78" s="129">
        <v>13.374796999999999</v>
      </c>
      <c r="D78" s="129">
        <v>12.463742999999999</v>
      </c>
      <c r="E78" s="129">
        <v>13.818379</v>
      </c>
      <c r="F78" s="129">
        <v>14.374001</v>
      </c>
    </row>
    <row r="79" spans="1:255" x14ac:dyDescent="0.15">
      <c r="A79" s="119"/>
      <c r="B79" s="119"/>
      <c r="C79" s="119"/>
      <c r="D79" s="119"/>
      <c r="E79" s="119"/>
      <c r="F79" s="119"/>
    </row>
    <row r="80" spans="1:255" x14ac:dyDescent="0.15">
      <c r="A80" s="118" t="s">
        <v>63</v>
      </c>
      <c r="B80" s="129">
        <v>13.345764000000001</v>
      </c>
      <c r="C80" s="129">
        <v>12.101449000000001</v>
      </c>
      <c r="D80" s="129">
        <v>12.545909</v>
      </c>
      <c r="E80" s="129">
        <v>15.163437999999999</v>
      </c>
      <c r="F80" s="129">
        <v>15.823179</v>
      </c>
    </row>
    <row r="81" spans="1:6" x14ac:dyDescent="0.15">
      <c r="A81" s="119"/>
      <c r="B81" s="119"/>
      <c r="C81" s="119"/>
      <c r="D81" s="119"/>
      <c r="E81" s="119"/>
      <c r="F81" s="119"/>
    </row>
    <row r="82" spans="1:6" x14ac:dyDescent="0.15">
      <c r="A82" s="118" t="s">
        <v>64</v>
      </c>
      <c r="B82" s="129">
        <v>1.2689220000000001</v>
      </c>
      <c r="C82" s="129">
        <v>1.1753400000000001</v>
      </c>
      <c r="D82" s="129">
        <v>1.100689</v>
      </c>
      <c r="E82" s="129">
        <v>1.0617570000000001</v>
      </c>
      <c r="F82" s="129">
        <v>1.0752930000000001</v>
      </c>
    </row>
    <row r="83" spans="1:6" x14ac:dyDescent="0.15">
      <c r="A83" s="119"/>
      <c r="B83" s="119"/>
      <c r="C83" s="119"/>
      <c r="D83" s="119"/>
      <c r="E83" s="119"/>
      <c r="F83" s="119"/>
    </row>
    <row r="84" spans="1:6" x14ac:dyDescent="0.15">
      <c r="A84" s="118" t="s">
        <v>65</v>
      </c>
      <c r="B84" s="129">
        <v>1.3975850000000001</v>
      </c>
      <c r="C84" s="129">
        <v>1.2714570000000001</v>
      </c>
      <c r="D84" s="129">
        <v>1.1745209999999999</v>
      </c>
      <c r="E84" s="129">
        <v>1.250937</v>
      </c>
      <c r="F84" s="129">
        <v>1.249001</v>
      </c>
    </row>
    <row r="85" spans="1:6" x14ac:dyDescent="0.15">
      <c r="A85" s="119"/>
      <c r="B85" s="119"/>
      <c r="C85" s="119"/>
      <c r="D85" s="119"/>
      <c r="E85" s="119"/>
      <c r="F85" s="119"/>
    </row>
    <row r="86" spans="1:6" ht="12" x14ac:dyDescent="0.15">
      <c r="A86" s="119" t="s">
        <v>335</v>
      </c>
      <c r="B86" s="124" t="s">
        <v>336</v>
      </c>
      <c r="C86" s="124" t="s">
        <v>336</v>
      </c>
      <c r="D86" s="124" t="s">
        <v>336</v>
      </c>
      <c r="E86" s="124" t="s">
        <v>336</v>
      </c>
      <c r="F86" s="124" t="s">
        <v>337</v>
      </c>
    </row>
    <row r="87" spans="1:6" x14ac:dyDescent="0.15">
      <c r="A87" s="125"/>
      <c r="B87" s="125"/>
      <c r="C87" s="125"/>
      <c r="D87" s="125"/>
      <c r="E87" s="125"/>
      <c r="F87" s="125"/>
    </row>
    <row r="88" spans="1:6" x14ac:dyDescent="0.15">
      <c r="A88" s="130" t="s">
        <v>66</v>
      </c>
    </row>
  </sheetData>
  <pageMargins left="0.2" right="0.2" top="0.5" bottom="0.5" header="0.5" footer="0.5"/>
  <pageSetup fitToWidth="0" fitToHeight="0" orientation="landscape" horizontalDpi="0" verticalDpi="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1A648-81A1-43BE-9074-7CE5F76AA89C}">
  <sheetPr>
    <outlinePr summaryBelow="0" summaryRight="0"/>
    <pageSetUpPr autoPageBreaks="0"/>
  </sheetPr>
  <dimension ref="A5:IU108"/>
  <sheetViews>
    <sheetView workbookViewId="0">
      <selection activeCell="A27" sqref="A27"/>
    </sheetView>
  </sheetViews>
  <sheetFormatPr baseColWidth="10" defaultColWidth="8.75" defaultRowHeight="11" x14ac:dyDescent="0.15"/>
  <cols>
    <col min="1" max="1" width="53.5" style="106" customWidth="1"/>
    <col min="2" max="7" width="17.25" style="106" customWidth="1"/>
    <col min="8" max="256" width="9.25" style="106"/>
    <col min="257" max="257" width="53.5" style="106" customWidth="1"/>
    <col min="258" max="263" width="17.25" style="106" customWidth="1"/>
    <col min="264" max="512" width="9.25" style="106"/>
    <col min="513" max="513" width="53.5" style="106" customWidth="1"/>
    <col min="514" max="519" width="17.25" style="106" customWidth="1"/>
    <col min="520" max="768" width="9.25" style="106"/>
    <col min="769" max="769" width="53.5" style="106" customWidth="1"/>
    <col min="770" max="775" width="17.25" style="106" customWidth="1"/>
    <col min="776" max="1024" width="9.25" style="106"/>
    <col min="1025" max="1025" width="53.5" style="106" customWidth="1"/>
    <col min="1026" max="1031" width="17.25" style="106" customWidth="1"/>
    <col min="1032" max="1280" width="9.25" style="106"/>
    <col min="1281" max="1281" width="53.5" style="106" customWidth="1"/>
    <col min="1282" max="1287" width="17.25" style="106" customWidth="1"/>
    <col min="1288" max="1536" width="9.25" style="106"/>
    <col min="1537" max="1537" width="53.5" style="106" customWidth="1"/>
    <col min="1538" max="1543" width="17.25" style="106" customWidth="1"/>
    <col min="1544" max="1792" width="9.25" style="106"/>
    <col min="1793" max="1793" width="53.5" style="106" customWidth="1"/>
    <col min="1794" max="1799" width="17.25" style="106" customWidth="1"/>
    <col min="1800" max="2048" width="9.25" style="106"/>
    <col min="2049" max="2049" width="53.5" style="106" customWidth="1"/>
    <col min="2050" max="2055" width="17.25" style="106" customWidth="1"/>
    <col min="2056" max="2304" width="9.25" style="106"/>
    <col min="2305" max="2305" width="53.5" style="106" customWidth="1"/>
    <col min="2306" max="2311" width="17.25" style="106" customWidth="1"/>
    <col min="2312" max="2560" width="9.25" style="106"/>
    <col min="2561" max="2561" width="53.5" style="106" customWidth="1"/>
    <col min="2562" max="2567" width="17.25" style="106" customWidth="1"/>
    <col min="2568" max="2816" width="9.25" style="106"/>
    <col min="2817" max="2817" width="53.5" style="106" customWidth="1"/>
    <col min="2818" max="2823" width="17.25" style="106" customWidth="1"/>
    <col min="2824" max="3072" width="9.25" style="106"/>
    <col min="3073" max="3073" width="53.5" style="106" customWidth="1"/>
    <col min="3074" max="3079" width="17.25" style="106" customWidth="1"/>
    <col min="3080" max="3328" width="9.25" style="106"/>
    <col min="3329" max="3329" width="53.5" style="106" customWidth="1"/>
    <col min="3330" max="3335" width="17.25" style="106" customWidth="1"/>
    <col min="3336" max="3584" width="9.25" style="106"/>
    <col min="3585" max="3585" width="53.5" style="106" customWidth="1"/>
    <col min="3586" max="3591" width="17.25" style="106" customWidth="1"/>
    <col min="3592" max="3840" width="9.25" style="106"/>
    <col min="3841" max="3841" width="53.5" style="106" customWidth="1"/>
    <col min="3842" max="3847" width="17.25" style="106" customWidth="1"/>
    <col min="3848" max="4096" width="9.25" style="106"/>
    <col min="4097" max="4097" width="53.5" style="106" customWidth="1"/>
    <col min="4098" max="4103" width="17.25" style="106" customWidth="1"/>
    <col min="4104" max="4352" width="9.25" style="106"/>
    <col min="4353" max="4353" width="53.5" style="106" customWidth="1"/>
    <col min="4354" max="4359" width="17.25" style="106" customWidth="1"/>
    <col min="4360" max="4608" width="9.25" style="106"/>
    <col min="4609" max="4609" width="53.5" style="106" customWidth="1"/>
    <col min="4610" max="4615" width="17.25" style="106" customWidth="1"/>
    <col min="4616" max="4864" width="9.25" style="106"/>
    <col min="4865" max="4865" width="53.5" style="106" customWidth="1"/>
    <col min="4866" max="4871" width="17.25" style="106" customWidth="1"/>
    <col min="4872" max="5120" width="9.25" style="106"/>
    <col min="5121" max="5121" width="53.5" style="106" customWidth="1"/>
    <col min="5122" max="5127" width="17.25" style="106" customWidth="1"/>
    <col min="5128" max="5376" width="9.25" style="106"/>
    <col min="5377" max="5377" width="53.5" style="106" customWidth="1"/>
    <col min="5378" max="5383" width="17.25" style="106" customWidth="1"/>
    <col min="5384" max="5632" width="9.25" style="106"/>
    <col min="5633" max="5633" width="53.5" style="106" customWidth="1"/>
    <col min="5634" max="5639" width="17.25" style="106" customWidth="1"/>
    <col min="5640" max="5888" width="9.25" style="106"/>
    <col min="5889" max="5889" width="53.5" style="106" customWidth="1"/>
    <col min="5890" max="5895" width="17.25" style="106" customWidth="1"/>
    <col min="5896" max="6144" width="9.25" style="106"/>
    <col min="6145" max="6145" width="53.5" style="106" customWidth="1"/>
    <col min="6146" max="6151" width="17.25" style="106" customWidth="1"/>
    <col min="6152" max="6400" width="9.25" style="106"/>
    <col min="6401" max="6401" width="53.5" style="106" customWidth="1"/>
    <col min="6402" max="6407" width="17.25" style="106" customWidth="1"/>
    <col min="6408" max="6656" width="9.25" style="106"/>
    <col min="6657" max="6657" width="53.5" style="106" customWidth="1"/>
    <col min="6658" max="6663" width="17.25" style="106" customWidth="1"/>
    <col min="6664" max="6912" width="9.25" style="106"/>
    <col min="6913" max="6913" width="53.5" style="106" customWidth="1"/>
    <col min="6914" max="6919" width="17.25" style="106" customWidth="1"/>
    <col min="6920" max="7168" width="9.25" style="106"/>
    <col min="7169" max="7169" width="53.5" style="106" customWidth="1"/>
    <col min="7170" max="7175" width="17.25" style="106" customWidth="1"/>
    <col min="7176" max="7424" width="9.25" style="106"/>
    <col min="7425" max="7425" width="53.5" style="106" customWidth="1"/>
    <col min="7426" max="7431" width="17.25" style="106" customWidth="1"/>
    <col min="7432" max="7680" width="9.25" style="106"/>
    <col min="7681" max="7681" width="53.5" style="106" customWidth="1"/>
    <col min="7682" max="7687" width="17.25" style="106" customWidth="1"/>
    <col min="7688" max="7936" width="9.25" style="106"/>
    <col min="7937" max="7937" width="53.5" style="106" customWidth="1"/>
    <col min="7938" max="7943" width="17.25" style="106" customWidth="1"/>
    <col min="7944" max="8192" width="9.25" style="106"/>
    <col min="8193" max="8193" width="53.5" style="106" customWidth="1"/>
    <col min="8194" max="8199" width="17.25" style="106" customWidth="1"/>
    <col min="8200" max="8448" width="9.25" style="106"/>
    <col min="8449" max="8449" width="53.5" style="106" customWidth="1"/>
    <col min="8450" max="8455" width="17.25" style="106" customWidth="1"/>
    <col min="8456" max="8704" width="9.25" style="106"/>
    <col min="8705" max="8705" width="53.5" style="106" customWidth="1"/>
    <col min="8706" max="8711" width="17.25" style="106" customWidth="1"/>
    <col min="8712" max="8960" width="9.25" style="106"/>
    <col min="8961" max="8961" width="53.5" style="106" customWidth="1"/>
    <col min="8962" max="8967" width="17.25" style="106" customWidth="1"/>
    <col min="8968" max="9216" width="9.25" style="106"/>
    <col min="9217" max="9217" width="53.5" style="106" customWidth="1"/>
    <col min="9218" max="9223" width="17.25" style="106" customWidth="1"/>
    <col min="9224" max="9472" width="9.25" style="106"/>
    <col min="9473" max="9473" width="53.5" style="106" customWidth="1"/>
    <col min="9474" max="9479" width="17.25" style="106" customWidth="1"/>
    <col min="9480" max="9728" width="9.25" style="106"/>
    <col min="9729" max="9729" width="53.5" style="106" customWidth="1"/>
    <col min="9730" max="9735" width="17.25" style="106" customWidth="1"/>
    <col min="9736" max="9984" width="9.25" style="106"/>
    <col min="9985" max="9985" width="53.5" style="106" customWidth="1"/>
    <col min="9986" max="9991" width="17.25" style="106" customWidth="1"/>
    <col min="9992" max="10240" width="9.25" style="106"/>
    <col min="10241" max="10241" width="53.5" style="106" customWidth="1"/>
    <col min="10242" max="10247" width="17.25" style="106" customWidth="1"/>
    <col min="10248" max="10496" width="9.25" style="106"/>
    <col min="10497" max="10497" width="53.5" style="106" customWidth="1"/>
    <col min="10498" max="10503" width="17.25" style="106" customWidth="1"/>
    <col min="10504" max="10752" width="9.25" style="106"/>
    <col min="10753" max="10753" width="53.5" style="106" customWidth="1"/>
    <col min="10754" max="10759" width="17.25" style="106" customWidth="1"/>
    <col min="10760" max="11008" width="9.25" style="106"/>
    <col min="11009" max="11009" width="53.5" style="106" customWidth="1"/>
    <col min="11010" max="11015" width="17.25" style="106" customWidth="1"/>
    <col min="11016" max="11264" width="9.25" style="106"/>
    <col min="11265" max="11265" width="53.5" style="106" customWidth="1"/>
    <col min="11266" max="11271" width="17.25" style="106" customWidth="1"/>
    <col min="11272" max="11520" width="9.25" style="106"/>
    <col min="11521" max="11521" width="53.5" style="106" customWidth="1"/>
    <col min="11522" max="11527" width="17.25" style="106" customWidth="1"/>
    <col min="11528" max="11776" width="9.25" style="106"/>
    <col min="11777" max="11777" width="53.5" style="106" customWidth="1"/>
    <col min="11778" max="11783" width="17.25" style="106" customWidth="1"/>
    <col min="11784" max="12032" width="9.25" style="106"/>
    <col min="12033" max="12033" width="53.5" style="106" customWidth="1"/>
    <col min="12034" max="12039" width="17.25" style="106" customWidth="1"/>
    <col min="12040" max="12288" width="9.25" style="106"/>
    <col min="12289" max="12289" width="53.5" style="106" customWidth="1"/>
    <col min="12290" max="12295" width="17.25" style="106" customWidth="1"/>
    <col min="12296" max="12544" width="9.25" style="106"/>
    <col min="12545" max="12545" width="53.5" style="106" customWidth="1"/>
    <col min="12546" max="12551" width="17.25" style="106" customWidth="1"/>
    <col min="12552" max="12800" width="9.25" style="106"/>
    <col min="12801" max="12801" width="53.5" style="106" customWidth="1"/>
    <col min="12802" max="12807" width="17.25" style="106" customWidth="1"/>
    <col min="12808" max="13056" width="9.25" style="106"/>
    <col min="13057" max="13057" width="53.5" style="106" customWidth="1"/>
    <col min="13058" max="13063" width="17.25" style="106" customWidth="1"/>
    <col min="13064" max="13312" width="9.25" style="106"/>
    <col min="13313" max="13313" width="53.5" style="106" customWidth="1"/>
    <col min="13314" max="13319" width="17.25" style="106" customWidth="1"/>
    <col min="13320" max="13568" width="9.25" style="106"/>
    <col min="13569" max="13569" width="53.5" style="106" customWidth="1"/>
    <col min="13570" max="13575" width="17.25" style="106" customWidth="1"/>
    <col min="13576" max="13824" width="9.25" style="106"/>
    <col min="13825" max="13825" width="53.5" style="106" customWidth="1"/>
    <col min="13826" max="13831" width="17.25" style="106" customWidth="1"/>
    <col min="13832" max="14080" width="9.25" style="106"/>
    <col min="14081" max="14081" width="53.5" style="106" customWidth="1"/>
    <col min="14082" max="14087" width="17.25" style="106" customWidth="1"/>
    <col min="14088" max="14336" width="9.25" style="106"/>
    <col min="14337" max="14337" width="53.5" style="106" customWidth="1"/>
    <col min="14338" max="14343" width="17.25" style="106" customWidth="1"/>
    <col min="14344" max="14592" width="9.25" style="106"/>
    <col min="14593" max="14593" width="53.5" style="106" customWidth="1"/>
    <col min="14594" max="14599" width="17.25" style="106" customWidth="1"/>
    <col min="14600" max="14848" width="9.25" style="106"/>
    <col min="14849" max="14849" width="53.5" style="106" customWidth="1"/>
    <col min="14850" max="14855" width="17.25" style="106" customWidth="1"/>
    <col min="14856" max="15104" width="9.25" style="106"/>
    <col min="15105" max="15105" width="53.5" style="106" customWidth="1"/>
    <col min="15106" max="15111" width="17.25" style="106" customWidth="1"/>
    <col min="15112" max="15360" width="9.25" style="106"/>
    <col min="15361" max="15361" width="53.5" style="106" customWidth="1"/>
    <col min="15362" max="15367" width="17.25" style="106" customWidth="1"/>
    <col min="15368" max="15616" width="9.25" style="106"/>
    <col min="15617" max="15617" width="53.5" style="106" customWidth="1"/>
    <col min="15618" max="15623" width="17.25" style="106" customWidth="1"/>
    <col min="15624" max="15872" width="9.25" style="106"/>
    <col min="15873" max="15873" width="53.5" style="106" customWidth="1"/>
    <col min="15874" max="15879" width="17.25" style="106" customWidth="1"/>
    <col min="15880" max="16128" width="9.25" style="106"/>
    <col min="16129" max="16129" width="53.5" style="106" customWidth="1"/>
    <col min="16130" max="16135" width="17.25" style="106" customWidth="1"/>
    <col min="16136" max="16384" width="9.25" style="106"/>
  </cols>
  <sheetData>
    <row r="5" spans="1:255" ht="17" x14ac:dyDescent="0.2">
      <c r="A5" s="105" t="s">
        <v>339</v>
      </c>
    </row>
    <row r="7" spans="1:255" ht="12" x14ac:dyDescent="0.15">
      <c r="A7" s="107" t="s">
        <v>68</v>
      </c>
      <c r="B7" s="108" t="s">
        <v>69</v>
      </c>
      <c r="C7" s="106" t="s">
        <v>70</v>
      </c>
      <c r="D7" s="109" t="s">
        <v>4</v>
      </c>
      <c r="E7" s="108" t="s">
        <v>71</v>
      </c>
      <c r="F7" s="106" t="s">
        <v>72</v>
      </c>
    </row>
    <row r="8" spans="1:255" x14ac:dyDescent="0.15">
      <c r="A8" s="109"/>
      <c r="B8" s="108" t="s">
        <v>73</v>
      </c>
      <c r="C8" s="106" t="s">
        <v>74</v>
      </c>
      <c r="D8" s="109" t="s">
        <v>4</v>
      </c>
      <c r="E8" s="108" t="s">
        <v>7</v>
      </c>
      <c r="F8" s="106" t="s">
        <v>8</v>
      </c>
    </row>
    <row r="9" spans="1:255" x14ac:dyDescent="0.15">
      <c r="A9" s="109"/>
      <c r="B9" s="108" t="s">
        <v>2</v>
      </c>
      <c r="C9" s="106" t="s">
        <v>75</v>
      </c>
      <c r="D9" s="109" t="s">
        <v>4</v>
      </c>
      <c r="E9" s="108" t="s">
        <v>5</v>
      </c>
      <c r="F9" s="106" t="s">
        <v>327</v>
      </c>
    </row>
    <row r="10" spans="1:255" x14ac:dyDescent="0.15">
      <c r="A10" s="109"/>
      <c r="B10" s="108" t="s">
        <v>9</v>
      </c>
      <c r="C10" s="106" t="s">
        <v>10</v>
      </c>
      <c r="D10" s="109" t="s">
        <v>4</v>
      </c>
      <c r="E10" s="108" t="s">
        <v>11</v>
      </c>
      <c r="F10" s="110" t="s">
        <v>12</v>
      </c>
    </row>
    <row r="13" spans="1:255" x14ac:dyDescent="0.15">
      <c r="A13" s="112" t="s">
        <v>76</v>
      </c>
      <c r="B13" s="112"/>
      <c r="C13" s="112"/>
      <c r="D13" s="112"/>
      <c r="E13" s="112"/>
      <c r="F13" s="112"/>
      <c r="G13" s="112"/>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c r="DQ13" s="113"/>
      <c r="DR13" s="113"/>
      <c r="DS13" s="113"/>
      <c r="DT13" s="113"/>
      <c r="DU13" s="113"/>
      <c r="DV13" s="113"/>
      <c r="DW13" s="113"/>
      <c r="DX13" s="113"/>
      <c r="DY13" s="113"/>
      <c r="DZ13" s="113"/>
      <c r="EA13" s="113"/>
      <c r="EB13" s="113"/>
      <c r="EC13" s="113"/>
      <c r="ED13" s="113"/>
      <c r="EE13" s="113"/>
      <c r="EF13" s="113"/>
      <c r="EG13" s="113"/>
      <c r="EH13" s="113"/>
      <c r="EI13" s="113"/>
      <c r="EJ13" s="113"/>
      <c r="EK13" s="113"/>
      <c r="EL13" s="113"/>
      <c r="EM13" s="113"/>
      <c r="EN13" s="113"/>
      <c r="EO13" s="113"/>
      <c r="EP13" s="113"/>
      <c r="EQ13" s="113"/>
      <c r="ER13" s="113"/>
      <c r="ES13" s="113"/>
      <c r="ET13" s="113"/>
      <c r="EU13" s="113"/>
      <c r="EV13" s="113"/>
      <c r="EW13" s="113"/>
      <c r="EX13" s="113"/>
      <c r="EY13" s="113"/>
      <c r="EZ13" s="113"/>
      <c r="FA13" s="113"/>
      <c r="FB13" s="113"/>
      <c r="FC13" s="113"/>
      <c r="FD13" s="113"/>
      <c r="FE13" s="113"/>
      <c r="FF13" s="113"/>
      <c r="FG13" s="113"/>
      <c r="FH13" s="113"/>
      <c r="FI13" s="113"/>
      <c r="FJ13" s="113"/>
      <c r="FK13" s="113"/>
      <c r="FL13" s="113"/>
      <c r="FM13" s="113"/>
      <c r="FN13" s="113"/>
      <c r="FO13" s="113"/>
      <c r="FP13" s="113"/>
      <c r="FQ13" s="113"/>
      <c r="FR13" s="113"/>
      <c r="FS13" s="113"/>
      <c r="FT13" s="113"/>
      <c r="FU13" s="113"/>
      <c r="FV13" s="113"/>
      <c r="FW13" s="113"/>
      <c r="FX13" s="113"/>
      <c r="FY13" s="113"/>
      <c r="FZ13" s="113"/>
      <c r="GA13" s="113"/>
      <c r="GB13" s="113"/>
      <c r="GC13" s="113"/>
      <c r="GD13" s="113"/>
      <c r="GE13" s="113"/>
      <c r="GF13" s="113"/>
      <c r="GG13" s="113"/>
      <c r="GH13" s="113"/>
      <c r="GI13" s="113"/>
      <c r="GJ13" s="113"/>
      <c r="GK13" s="113"/>
      <c r="GL13" s="113"/>
      <c r="GM13" s="113"/>
      <c r="GN13" s="113"/>
      <c r="GO13" s="113"/>
      <c r="GP13" s="113"/>
      <c r="GQ13" s="113"/>
      <c r="GR13" s="113"/>
      <c r="GS13" s="113"/>
      <c r="GT13" s="113"/>
      <c r="GU13" s="113"/>
      <c r="GV13" s="113"/>
      <c r="GW13" s="113"/>
      <c r="GX13" s="113"/>
      <c r="GY13" s="113"/>
      <c r="GZ13" s="113"/>
      <c r="HA13" s="113"/>
      <c r="HB13" s="113"/>
      <c r="HC13" s="113"/>
      <c r="HD13" s="113"/>
      <c r="HE13" s="113"/>
      <c r="HF13" s="113"/>
      <c r="HG13" s="113"/>
      <c r="HH13" s="113"/>
      <c r="HI13" s="113"/>
      <c r="HJ13" s="113"/>
      <c r="HK13" s="113"/>
      <c r="HL13" s="113"/>
      <c r="HM13" s="113"/>
      <c r="HN13" s="113"/>
      <c r="HO13" s="113"/>
      <c r="HP13" s="113"/>
      <c r="HQ13" s="113"/>
      <c r="HR13" s="113"/>
      <c r="HS13" s="113"/>
      <c r="HT13" s="113"/>
      <c r="HU13" s="113"/>
      <c r="HV13" s="113"/>
      <c r="HW13" s="113"/>
      <c r="HX13" s="113"/>
      <c r="HY13" s="113"/>
      <c r="HZ13" s="113"/>
      <c r="IA13" s="113"/>
      <c r="IB13" s="113"/>
      <c r="IC13" s="113"/>
      <c r="ID13" s="113"/>
      <c r="IE13" s="113"/>
      <c r="IF13" s="113"/>
      <c r="IG13" s="113"/>
      <c r="IH13" s="113"/>
      <c r="II13" s="113"/>
      <c r="IJ13" s="113"/>
      <c r="IK13" s="113"/>
      <c r="IL13" s="113"/>
      <c r="IM13" s="113"/>
      <c r="IN13" s="113"/>
      <c r="IO13" s="113"/>
      <c r="IP13" s="113"/>
      <c r="IQ13" s="113"/>
      <c r="IR13" s="113"/>
      <c r="IS13" s="113"/>
      <c r="IT13" s="113"/>
      <c r="IU13" s="113"/>
    </row>
    <row r="14" spans="1:255" ht="36" x14ac:dyDescent="0.15">
      <c r="A14" s="114" t="s">
        <v>16</v>
      </c>
      <c r="B14" s="115" t="s">
        <v>340</v>
      </c>
      <c r="C14" s="115" t="s">
        <v>341</v>
      </c>
      <c r="D14" s="115" t="s">
        <v>342</v>
      </c>
      <c r="E14" s="115" t="s">
        <v>343</v>
      </c>
      <c r="F14" s="115" t="s">
        <v>344</v>
      </c>
      <c r="G14" s="115" t="s">
        <v>82</v>
      </c>
    </row>
    <row r="15" spans="1:255" ht="12" x14ac:dyDescent="0.15">
      <c r="A15" s="116" t="s">
        <v>23</v>
      </c>
      <c r="B15" s="117" t="s">
        <v>334</v>
      </c>
      <c r="C15" s="117" t="s">
        <v>334</v>
      </c>
      <c r="D15" s="117" t="s">
        <v>334</v>
      </c>
      <c r="E15" s="117" t="s">
        <v>334</v>
      </c>
      <c r="F15" s="117" t="s">
        <v>334</v>
      </c>
      <c r="G15" s="117" t="s">
        <v>334</v>
      </c>
    </row>
    <row r="16" spans="1:255" x14ac:dyDescent="0.15">
      <c r="A16" s="118" t="s">
        <v>34</v>
      </c>
      <c r="B16" s="119"/>
      <c r="C16" s="119"/>
      <c r="D16" s="119"/>
      <c r="E16" s="119"/>
      <c r="F16" s="119"/>
      <c r="G16" s="119"/>
    </row>
    <row r="17" spans="1:7" x14ac:dyDescent="0.15">
      <c r="A17" s="119" t="s">
        <v>83</v>
      </c>
      <c r="B17" s="127">
        <v>2010734</v>
      </c>
      <c r="C17" s="127">
        <v>2104430</v>
      </c>
      <c r="D17" s="127">
        <v>2026470</v>
      </c>
      <c r="E17" s="127">
        <v>2204858</v>
      </c>
      <c r="F17" s="127">
        <v>2388848</v>
      </c>
      <c r="G17" s="127">
        <v>2319995</v>
      </c>
    </row>
    <row r="18" spans="1:7" ht="12" x14ac:dyDescent="0.15">
      <c r="A18" s="119" t="s">
        <v>84</v>
      </c>
      <c r="B18" s="127" t="s">
        <v>48</v>
      </c>
      <c r="C18" s="127" t="s">
        <v>48</v>
      </c>
      <c r="D18" s="127" t="s">
        <v>48</v>
      </c>
      <c r="E18" s="127" t="s">
        <v>48</v>
      </c>
      <c r="F18" s="127" t="s">
        <v>48</v>
      </c>
      <c r="G18" s="127" t="s">
        <v>48</v>
      </c>
    </row>
    <row r="19" spans="1:7" x14ac:dyDescent="0.15">
      <c r="A19" s="118" t="s">
        <v>85</v>
      </c>
      <c r="B19" s="131">
        <v>2010734</v>
      </c>
      <c r="C19" s="131">
        <v>2104430</v>
      </c>
      <c r="D19" s="131">
        <v>2026470</v>
      </c>
      <c r="E19" s="131">
        <v>2204858</v>
      </c>
      <c r="F19" s="131">
        <v>2388848</v>
      </c>
      <c r="G19" s="131">
        <v>2319995</v>
      </c>
    </row>
    <row r="20" spans="1:7" x14ac:dyDescent="0.15">
      <c r="A20" s="119"/>
      <c r="B20" s="119"/>
      <c r="C20" s="119"/>
      <c r="D20" s="119"/>
      <c r="E20" s="119"/>
      <c r="F20" s="119"/>
      <c r="G20" s="119"/>
    </row>
    <row r="21" spans="1:7" x14ac:dyDescent="0.15">
      <c r="A21" s="119" t="s">
        <v>86</v>
      </c>
      <c r="B21" s="127">
        <v>1611469</v>
      </c>
      <c r="C21" s="127">
        <v>1662556</v>
      </c>
      <c r="D21" s="127">
        <v>1596472</v>
      </c>
      <c r="E21" s="127">
        <v>1748017</v>
      </c>
      <c r="F21" s="127">
        <v>1935486</v>
      </c>
      <c r="G21" s="127">
        <v>1875844</v>
      </c>
    </row>
    <row r="22" spans="1:7" x14ac:dyDescent="0.15">
      <c r="A22" s="118" t="s">
        <v>87</v>
      </c>
      <c r="B22" s="131">
        <v>399265</v>
      </c>
      <c r="C22" s="131">
        <v>441874</v>
      </c>
      <c r="D22" s="131">
        <v>429998</v>
      </c>
      <c r="E22" s="131">
        <v>456841</v>
      </c>
      <c r="F22" s="131">
        <v>453362</v>
      </c>
      <c r="G22" s="131">
        <v>444151</v>
      </c>
    </row>
    <row r="23" spans="1:7" x14ac:dyDescent="0.15">
      <c r="A23" s="119"/>
      <c r="B23" s="119"/>
      <c r="C23" s="119"/>
      <c r="D23" s="119"/>
      <c r="E23" s="119"/>
      <c r="F23" s="119"/>
      <c r="G23" s="119"/>
    </row>
    <row r="24" spans="1:7" x14ac:dyDescent="0.15">
      <c r="A24" s="119" t="s">
        <v>88</v>
      </c>
      <c r="B24" s="127">
        <v>211600</v>
      </c>
      <c r="C24" s="127">
        <v>223140</v>
      </c>
      <c r="D24" s="127">
        <v>218604</v>
      </c>
      <c r="E24" s="127">
        <v>228527</v>
      </c>
      <c r="F24" s="127">
        <v>240182</v>
      </c>
      <c r="G24" s="127">
        <v>237010</v>
      </c>
    </row>
    <row r="25" spans="1:7" x14ac:dyDescent="0.15">
      <c r="A25" s="119"/>
      <c r="B25" s="142">
        <f>B24/B19</f>
        <v>0.10523520266728469</v>
      </c>
      <c r="C25" s="142">
        <f t="shared" ref="C25:G25" si="0">C24/C19</f>
        <v>0.10603346274288049</v>
      </c>
      <c r="D25" s="142">
        <f t="shared" si="0"/>
        <v>0.10787428385320286</v>
      </c>
      <c r="E25" s="142">
        <f t="shared" si="0"/>
        <v>0.10364703758700107</v>
      </c>
      <c r="F25" s="142">
        <f t="shared" si="0"/>
        <v>0.10054302324802583</v>
      </c>
      <c r="G25" s="142">
        <f t="shared" si="0"/>
        <v>0.10215970293039425</v>
      </c>
    </row>
    <row r="26" spans="1:7" x14ac:dyDescent="0.15">
      <c r="A26" s="119"/>
      <c r="B26" s="142"/>
      <c r="C26" s="142"/>
      <c r="D26" s="142"/>
      <c r="E26" s="142"/>
      <c r="F26" s="142"/>
      <c r="G26" s="142"/>
    </row>
    <row r="27" spans="1:7" x14ac:dyDescent="0.15">
      <c r="A27" s="119" t="s">
        <v>89</v>
      </c>
      <c r="B27" s="127">
        <v>58082</v>
      </c>
      <c r="C27" s="127">
        <v>57401</v>
      </c>
      <c r="D27" s="127">
        <v>57733</v>
      </c>
      <c r="E27" s="127">
        <v>65106</v>
      </c>
      <c r="F27" s="127">
        <v>65226</v>
      </c>
      <c r="G27" s="127">
        <v>65226</v>
      </c>
    </row>
    <row r="28" spans="1:7" x14ac:dyDescent="0.15">
      <c r="A28" s="119"/>
      <c r="B28" s="142">
        <f>B27/B19</f>
        <v>2.8885969004353633E-2</v>
      </c>
      <c r="C28" s="142">
        <f t="shared" ref="C28:G28" si="1">C27/C19</f>
        <v>2.7276269583687743E-2</v>
      </c>
      <c r="D28" s="142">
        <f t="shared" si="1"/>
        <v>2.8489442232058702E-2</v>
      </c>
      <c r="E28" s="142">
        <f t="shared" si="1"/>
        <v>2.9528432216496481E-2</v>
      </c>
      <c r="F28" s="142">
        <f t="shared" si="1"/>
        <v>2.7304374326034976E-2</v>
      </c>
      <c r="G28" s="142">
        <f t="shared" si="1"/>
        <v>2.8114715764473629E-2</v>
      </c>
    </row>
    <row r="29" spans="1:7" x14ac:dyDescent="0.15">
      <c r="A29" s="119" t="s">
        <v>90</v>
      </c>
      <c r="B29" s="127">
        <v>6102</v>
      </c>
      <c r="C29" s="127">
        <v>6853</v>
      </c>
      <c r="D29" s="127">
        <v>6768</v>
      </c>
      <c r="E29" s="127">
        <v>6744</v>
      </c>
      <c r="F29" s="127">
        <v>6485</v>
      </c>
      <c r="G29" s="127">
        <v>6485</v>
      </c>
    </row>
    <row r="30" spans="1:7" ht="12" x14ac:dyDescent="0.15">
      <c r="A30" s="119" t="s">
        <v>91</v>
      </c>
      <c r="B30" s="127" t="s">
        <v>48</v>
      </c>
      <c r="C30" s="127" t="s">
        <v>48</v>
      </c>
      <c r="D30" s="127" t="s">
        <v>48</v>
      </c>
      <c r="E30" s="127" t="s">
        <v>48</v>
      </c>
      <c r="F30" s="127" t="s">
        <v>48</v>
      </c>
      <c r="G30" s="127" t="s">
        <v>48</v>
      </c>
    </row>
    <row r="31" spans="1:7" x14ac:dyDescent="0.15">
      <c r="A31" s="119"/>
      <c r="B31" s="119"/>
      <c r="C31" s="119"/>
      <c r="D31" s="119"/>
      <c r="E31" s="119"/>
      <c r="F31" s="119"/>
      <c r="G31" s="119"/>
    </row>
    <row r="32" spans="1:7" x14ac:dyDescent="0.15">
      <c r="A32" s="118" t="s">
        <v>92</v>
      </c>
      <c r="B32" s="131">
        <v>275784</v>
      </c>
      <c r="C32" s="131">
        <v>287394</v>
      </c>
      <c r="D32" s="131">
        <v>283105</v>
      </c>
      <c r="E32" s="131">
        <v>300377</v>
      </c>
      <c r="F32" s="131">
        <v>311893</v>
      </c>
      <c r="G32" s="131">
        <v>308721</v>
      </c>
    </row>
    <row r="33" spans="1:7" x14ac:dyDescent="0.15">
      <c r="A33" s="119"/>
      <c r="B33" s="119"/>
      <c r="C33" s="119"/>
      <c r="D33" s="119"/>
      <c r="E33" s="119"/>
      <c r="F33" s="119"/>
      <c r="G33" s="119"/>
    </row>
    <row r="34" spans="1:7" x14ac:dyDescent="0.15">
      <c r="A34" s="118" t="s">
        <v>93</v>
      </c>
      <c r="B34" s="120">
        <v>123481</v>
      </c>
      <c r="C34" s="120">
        <v>154480</v>
      </c>
      <c r="D34" s="120">
        <v>146893</v>
      </c>
      <c r="E34" s="120">
        <v>156464</v>
      </c>
      <c r="F34" s="120">
        <v>141469</v>
      </c>
      <c r="G34" s="120">
        <v>135430</v>
      </c>
    </row>
    <row r="35" spans="1:7" x14ac:dyDescent="0.15">
      <c r="A35" s="119"/>
      <c r="B35" s="119"/>
      <c r="C35" s="119"/>
      <c r="D35" s="119"/>
      <c r="E35" s="119"/>
      <c r="F35" s="119"/>
      <c r="G35" s="119"/>
    </row>
    <row r="36" spans="1:7" x14ac:dyDescent="0.15">
      <c r="A36" s="119" t="s">
        <v>94</v>
      </c>
      <c r="B36" s="127">
        <v>-6347</v>
      </c>
      <c r="C36" s="127">
        <v>-5350</v>
      </c>
      <c r="D36" s="127">
        <v>-4654</v>
      </c>
      <c r="E36" s="127">
        <v>-5091</v>
      </c>
      <c r="F36" s="127">
        <v>-7161</v>
      </c>
      <c r="G36" s="127">
        <v>-7706</v>
      </c>
    </row>
    <row r="37" spans="1:7" x14ac:dyDescent="0.15">
      <c r="A37" s="119" t="s">
        <v>95</v>
      </c>
      <c r="B37" s="127">
        <v>4121</v>
      </c>
      <c r="C37" s="127">
        <v>5042</v>
      </c>
      <c r="D37" s="127">
        <v>5010</v>
      </c>
      <c r="E37" s="127">
        <v>5222</v>
      </c>
      <c r="F37" s="127">
        <v>6883</v>
      </c>
      <c r="G37" s="127">
        <v>7021</v>
      </c>
    </row>
    <row r="38" spans="1:7" x14ac:dyDescent="0.15">
      <c r="A38" s="118" t="s">
        <v>96</v>
      </c>
      <c r="B38" s="131">
        <v>-2226</v>
      </c>
      <c r="C38" s="131">
        <v>-308</v>
      </c>
      <c r="D38" s="131">
        <v>356</v>
      </c>
      <c r="E38" s="131">
        <v>131</v>
      </c>
      <c r="F38" s="131">
        <v>-278</v>
      </c>
      <c r="G38" s="131">
        <v>-685</v>
      </c>
    </row>
    <row r="39" spans="1:7" x14ac:dyDescent="0.15">
      <c r="A39" s="119"/>
      <c r="B39" s="119"/>
      <c r="C39" s="119"/>
      <c r="D39" s="119"/>
      <c r="E39" s="119"/>
      <c r="F39" s="119"/>
      <c r="G39" s="119"/>
    </row>
    <row r="40" spans="1:7" x14ac:dyDescent="0.15">
      <c r="A40" s="119" t="s">
        <v>97</v>
      </c>
      <c r="B40" s="127">
        <v>11816</v>
      </c>
      <c r="C40" s="127">
        <v>5016</v>
      </c>
      <c r="D40" s="127">
        <v>7506</v>
      </c>
      <c r="E40" s="127">
        <v>9221</v>
      </c>
      <c r="F40" s="127">
        <v>9619</v>
      </c>
      <c r="G40" s="127">
        <v>8236</v>
      </c>
    </row>
    <row r="41" spans="1:7" ht="12" x14ac:dyDescent="0.15">
      <c r="A41" s="119" t="s">
        <v>345</v>
      </c>
      <c r="B41" s="127">
        <v>2050</v>
      </c>
      <c r="C41" s="127">
        <v>-2357</v>
      </c>
      <c r="D41" s="127" t="s">
        <v>48</v>
      </c>
      <c r="E41" s="127" t="s">
        <v>48</v>
      </c>
      <c r="F41" s="127" t="s">
        <v>48</v>
      </c>
      <c r="G41" s="127" t="s">
        <v>48</v>
      </c>
    </row>
    <row r="42" spans="1:7" x14ac:dyDescent="0.15">
      <c r="A42" s="119" t="s">
        <v>98</v>
      </c>
      <c r="B42" s="127">
        <v>-6549</v>
      </c>
      <c r="C42" s="127">
        <v>-6661</v>
      </c>
      <c r="D42" s="127">
        <v>-11019</v>
      </c>
      <c r="E42" s="127">
        <v>-13511</v>
      </c>
      <c r="F42" s="127">
        <v>-16292</v>
      </c>
      <c r="G42" s="127">
        <v>-16501</v>
      </c>
    </row>
    <row r="43" spans="1:7" x14ac:dyDescent="0.15">
      <c r="A43" s="118" t="s">
        <v>99</v>
      </c>
      <c r="B43" s="131">
        <v>128572</v>
      </c>
      <c r="C43" s="131">
        <v>150170</v>
      </c>
      <c r="D43" s="131">
        <v>143736</v>
      </c>
      <c r="E43" s="131">
        <v>152305</v>
      </c>
      <c r="F43" s="131">
        <v>134518</v>
      </c>
      <c r="G43" s="131">
        <v>126480</v>
      </c>
    </row>
    <row r="44" spans="1:7" x14ac:dyDescent="0.15">
      <c r="A44" s="119"/>
      <c r="B44" s="119"/>
      <c r="C44" s="119"/>
      <c r="D44" s="119"/>
      <c r="E44" s="119"/>
      <c r="F44" s="119"/>
      <c r="G44" s="119"/>
    </row>
    <row r="45" spans="1:7" ht="12" x14ac:dyDescent="0.15">
      <c r="A45" s="119" t="s">
        <v>101</v>
      </c>
      <c r="B45" s="127" t="s">
        <v>48</v>
      </c>
      <c r="C45" s="127" t="s">
        <v>48</v>
      </c>
      <c r="D45" s="127" t="s">
        <v>48</v>
      </c>
      <c r="E45" s="127" t="s">
        <v>48</v>
      </c>
      <c r="F45" s="127" t="s">
        <v>48</v>
      </c>
      <c r="G45" s="127" t="s">
        <v>48</v>
      </c>
    </row>
    <row r="46" spans="1:7" x14ac:dyDescent="0.15">
      <c r="A46" s="119" t="s">
        <v>346</v>
      </c>
      <c r="B46" s="127">
        <v>1197</v>
      </c>
      <c r="C46" s="127">
        <v>2403</v>
      </c>
      <c r="D46" s="127">
        <v>2951</v>
      </c>
      <c r="E46" s="127">
        <v>-146</v>
      </c>
      <c r="F46" s="127">
        <v>-1298</v>
      </c>
      <c r="G46" s="127">
        <v>-183</v>
      </c>
    </row>
    <row r="47" spans="1:7" x14ac:dyDescent="0.15">
      <c r="A47" s="119" t="s">
        <v>347</v>
      </c>
      <c r="B47" s="127">
        <v>-5708</v>
      </c>
      <c r="C47" s="127">
        <v>-5098</v>
      </c>
      <c r="D47" s="127">
        <v>-4971</v>
      </c>
      <c r="E47" s="127">
        <v>-7084</v>
      </c>
      <c r="F47" s="127">
        <v>9751</v>
      </c>
      <c r="G47" s="127">
        <v>10448</v>
      </c>
    </row>
    <row r="48" spans="1:7" x14ac:dyDescent="0.15">
      <c r="A48" s="119" t="s">
        <v>348</v>
      </c>
      <c r="B48" s="127">
        <v>-7915</v>
      </c>
      <c r="C48" s="127">
        <v>-9063</v>
      </c>
      <c r="D48" s="127">
        <v>-2925</v>
      </c>
      <c r="E48" s="127">
        <v>-3944</v>
      </c>
      <c r="F48" s="127">
        <v>-18414</v>
      </c>
      <c r="G48" s="127">
        <v>-19645</v>
      </c>
    </row>
    <row r="49" spans="1:7" ht="12" x14ac:dyDescent="0.15">
      <c r="A49" s="119" t="s">
        <v>349</v>
      </c>
      <c r="B49" s="127" t="s">
        <v>48</v>
      </c>
      <c r="C49" s="127" t="s">
        <v>48</v>
      </c>
      <c r="D49" s="127" t="s">
        <v>48</v>
      </c>
      <c r="E49" s="127" t="s">
        <v>48</v>
      </c>
      <c r="F49" s="127">
        <v>-864</v>
      </c>
      <c r="G49" s="127">
        <v>125</v>
      </c>
    </row>
    <row r="50" spans="1:7" x14ac:dyDescent="0.15">
      <c r="A50" s="119" t="s">
        <v>103</v>
      </c>
      <c r="B50" s="127">
        <v>-1677</v>
      </c>
      <c r="C50" s="127">
        <v>-604</v>
      </c>
      <c r="D50" s="127">
        <v>221</v>
      </c>
      <c r="E50" s="127">
        <v>-4519</v>
      </c>
      <c r="F50" s="127">
        <v>3726</v>
      </c>
      <c r="G50" s="127">
        <v>3807</v>
      </c>
    </row>
    <row r="51" spans="1:7" x14ac:dyDescent="0.15">
      <c r="A51" s="118" t="s">
        <v>104</v>
      </c>
      <c r="B51" s="131">
        <v>114469</v>
      </c>
      <c r="C51" s="131">
        <v>137808</v>
      </c>
      <c r="D51" s="131">
        <v>139012</v>
      </c>
      <c r="E51" s="131">
        <v>136612</v>
      </c>
      <c r="F51" s="131">
        <v>127419</v>
      </c>
      <c r="G51" s="131">
        <v>121032</v>
      </c>
    </row>
    <row r="52" spans="1:7" x14ac:dyDescent="0.15">
      <c r="A52" s="119"/>
      <c r="B52" s="119"/>
      <c r="C52" s="119"/>
      <c r="D52" s="119"/>
      <c r="E52" s="119"/>
      <c r="F52" s="119"/>
      <c r="G52" s="119"/>
    </row>
    <row r="53" spans="1:7" x14ac:dyDescent="0.15">
      <c r="A53" s="119" t="s">
        <v>105</v>
      </c>
      <c r="B53" s="127">
        <v>39737</v>
      </c>
      <c r="C53" s="127">
        <v>40626</v>
      </c>
      <c r="D53" s="127">
        <v>33069</v>
      </c>
      <c r="E53" s="127">
        <v>33432</v>
      </c>
      <c r="F53" s="127">
        <v>39631</v>
      </c>
      <c r="G53" s="127">
        <v>36235</v>
      </c>
    </row>
    <row r="54" spans="1:7" x14ac:dyDescent="0.15">
      <c r="A54" s="118" t="s">
        <v>106</v>
      </c>
      <c r="B54" s="131">
        <v>74732</v>
      </c>
      <c r="C54" s="131">
        <v>97182</v>
      </c>
      <c r="D54" s="131">
        <v>105943</v>
      </c>
      <c r="E54" s="131">
        <v>103180</v>
      </c>
      <c r="F54" s="131">
        <v>87788</v>
      </c>
      <c r="G54" s="131">
        <v>84797</v>
      </c>
    </row>
    <row r="55" spans="1:7" x14ac:dyDescent="0.15">
      <c r="A55" s="119"/>
      <c r="B55" s="119">
        <f>B53/B51</f>
        <v>0.34714202098384717</v>
      </c>
      <c r="C55" s="119">
        <f t="shared" ref="C55:G55" si="2">C53/C51</f>
        <v>0.29480146290491116</v>
      </c>
      <c r="D55" s="119">
        <f t="shared" si="2"/>
        <v>0.23788593790464133</v>
      </c>
      <c r="E55" s="119">
        <f t="shared" si="2"/>
        <v>0.24472227915556466</v>
      </c>
      <c r="F55" s="119">
        <f t="shared" si="2"/>
        <v>0.31102896742244091</v>
      </c>
      <c r="G55" s="119">
        <f t="shared" si="2"/>
        <v>0.29938363408024327</v>
      </c>
    </row>
    <row r="56" spans="1:7" ht="12" x14ac:dyDescent="0.15">
      <c r="A56" s="119" t="s">
        <v>107</v>
      </c>
      <c r="B56" s="127" t="s">
        <v>48</v>
      </c>
      <c r="C56" s="127" t="s">
        <v>48</v>
      </c>
      <c r="D56" s="127" t="s">
        <v>48</v>
      </c>
      <c r="E56" s="127" t="s">
        <v>48</v>
      </c>
      <c r="F56" s="127" t="s">
        <v>48</v>
      </c>
      <c r="G56" s="127" t="s">
        <v>48</v>
      </c>
    </row>
    <row r="57" spans="1:7" ht="12" x14ac:dyDescent="0.15">
      <c r="A57" s="119" t="s">
        <v>108</v>
      </c>
      <c r="B57" s="127" t="s">
        <v>48</v>
      </c>
      <c r="C57" s="127" t="s">
        <v>48</v>
      </c>
      <c r="D57" s="127" t="s">
        <v>48</v>
      </c>
      <c r="E57" s="127" t="s">
        <v>48</v>
      </c>
      <c r="F57" s="127" t="s">
        <v>48</v>
      </c>
      <c r="G57" s="127" t="s">
        <v>48</v>
      </c>
    </row>
    <row r="58" spans="1:7" x14ac:dyDescent="0.15">
      <c r="A58" s="118" t="s">
        <v>109</v>
      </c>
      <c r="B58" s="131">
        <v>74732</v>
      </c>
      <c r="C58" s="131">
        <v>97182</v>
      </c>
      <c r="D58" s="131">
        <v>105943</v>
      </c>
      <c r="E58" s="131">
        <v>103180</v>
      </c>
      <c r="F58" s="131">
        <v>87788</v>
      </c>
      <c r="G58" s="131">
        <v>84797</v>
      </c>
    </row>
    <row r="59" spans="1:7" x14ac:dyDescent="0.15">
      <c r="A59" s="119"/>
      <c r="B59" s="119"/>
      <c r="C59" s="119"/>
      <c r="D59" s="119"/>
      <c r="E59" s="119"/>
      <c r="F59" s="119"/>
      <c r="G59" s="119"/>
    </row>
    <row r="60" spans="1:7" x14ac:dyDescent="0.15">
      <c r="A60" s="119" t="s">
        <v>110</v>
      </c>
      <c r="B60" s="127">
        <v>-3711</v>
      </c>
      <c r="C60" s="127">
        <v>-7050</v>
      </c>
      <c r="D60" s="127">
        <v>-6525</v>
      </c>
      <c r="E60" s="127">
        <v>-7265</v>
      </c>
      <c r="F60" s="127">
        <v>-8415</v>
      </c>
      <c r="G60" s="127">
        <v>-8270</v>
      </c>
    </row>
    <row r="61" spans="1:7" x14ac:dyDescent="0.15">
      <c r="A61" s="118" t="s">
        <v>111</v>
      </c>
      <c r="B61" s="132">
        <v>71021</v>
      </c>
      <c r="C61" s="132">
        <v>90132</v>
      </c>
      <c r="D61" s="132">
        <v>99418</v>
      </c>
      <c r="E61" s="132">
        <v>95915</v>
      </c>
      <c r="F61" s="132">
        <v>79373</v>
      </c>
      <c r="G61" s="132">
        <v>76527</v>
      </c>
    </row>
    <row r="62" spans="1:7" x14ac:dyDescent="0.15">
      <c r="A62" s="119"/>
      <c r="B62" s="119"/>
      <c r="C62" s="119"/>
      <c r="D62" s="119"/>
      <c r="E62" s="119"/>
      <c r="F62" s="119"/>
      <c r="G62" s="119"/>
    </row>
    <row r="63" spans="1:7" ht="12" x14ac:dyDescent="0.15">
      <c r="A63" s="119" t="s">
        <v>112</v>
      </c>
      <c r="B63" s="127" t="s">
        <v>48</v>
      </c>
      <c r="C63" s="127" t="s">
        <v>48</v>
      </c>
      <c r="D63" s="127" t="s">
        <v>48</v>
      </c>
      <c r="E63" s="127" t="s">
        <v>48</v>
      </c>
      <c r="F63" s="127" t="s">
        <v>48</v>
      </c>
      <c r="G63" s="127" t="s">
        <v>48</v>
      </c>
    </row>
    <row r="64" spans="1:7" x14ac:dyDescent="0.15">
      <c r="A64" s="119"/>
      <c r="B64" s="119"/>
      <c r="C64" s="119"/>
      <c r="D64" s="119"/>
      <c r="E64" s="119"/>
      <c r="F64" s="119"/>
      <c r="G64" s="119"/>
    </row>
    <row r="65" spans="1:7" x14ac:dyDescent="0.15">
      <c r="A65" s="118" t="s">
        <v>113</v>
      </c>
      <c r="B65" s="120">
        <v>71021</v>
      </c>
      <c r="C65" s="120">
        <v>90132</v>
      </c>
      <c r="D65" s="120">
        <v>99418</v>
      </c>
      <c r="E65" s="120">
        <v>95915</v>
      </c>
      <c r="F65" s="120">
        <v>79373</v>
      </c>
      <c r="G65" s="120">
        <v>76527</v>
      </c>
    </row>
    <row r="66" spans="1:7" x14ac:dyDescent="0.15">
      <c r="A66" s="118" t="s">
        <v>114</v>
      </c>
      <c r="B66" s="120">
        <v>71021</v>
      </c>
      <c r="C66" s="120">
        <v>90132</v>
      </c>
      <c r="D66" s="120">
        <v>99418</v>
      </c>
      <c r="E66" s="120">
        <v>95915</v>
      </c>
      <c r="F66" s="120">
        <v>79373</v>
      </c>
      <c r="G66" s="120">
        <v>76527</v>
      </c>
    </row>
    <row r="67" spans="1:7" x14ac:dyDescent="0.15">
      <c r="A67" s="119"/>
      <c r="B67" s="119"/>
      <c r="C67" s="119"/>
      <c r="D67" s="119"/>
      <c r="E67" s="119"/>
      <c r="F67" s="119"/>
      <c r="G67" s="119"/>
    </row>
    <row r="68" spans="1:7" x14ac:dyDescent="0.15">
      <c r="A68" s="118" t="s">
        <v>115</v>
      </c>
      <c r="B68" s="119"/>
      <c r="C68" s="119"/>
      <c r="D68" s="119"/>
      <c r="E68" s="119"/>
      <c r="F68" s="119"/>
      <c r="G68" s="119"/>
    </row>
    <row r="69" spans="1:7" x14ac:dyDescent="0.15">
      <c r="A69" s="119" t="s">
        <v>116</v>
      </c>
      <c r="B69" s="126">
        <v>44.332569999999997</v>
      </c>
      <c r="C69" s="126">
        <v>56.382855999999997</v>
      </c>
      <c r="D69" s="126">
        <v>62.172542999999997</v>
      </c>
      <c r="E69" s="126">
        <v>59.969437999999997</v>
      </c>
      <c r="F69" s="126">
        <v>49.614356999999998</v>
      </c>
      <c r="G69" s="126">
        <v>47.832453999999998</v>
      </c>
    </row>
    <row r="70" spans="1:7" x14ac:dyDescent="0.15">
      <c r="A70" s="119" t="s">
        <v>117</v>
      </c>
      <c r="B70" s="126">
        <v>44.332569999999997</v>
      </c>
      <c r="C70" s="126">
        <v>56.382855999999997</v>
      </c>
      <c r="D70" s="126">
        <v>62.172542999999997</v>
      </c>
      <c r="E70" s="126">
        <v>59.969437999999997</v>
      </c>
      <c r="F70" s="126">
        <v>49.614356999999998</v>
      </c>
      <c r="G70" s="126">
        <v>47.832453999999998</v>
      </c>
    </row>
    <row r="71" spans="1:7" x14ac:dyDescent="0.15">
      <c r="A71" s="119" t="s">
        <v>118</v>
      </c>
      <c r="B71" s="127">
        <v>1602.0050000000001</v>
      </c>
      <c r="C71" s="127">
        <v>1598.5709999999999</v>
      </c>
      <c r="D71" s="127">
        <v>1599.066</v>
      </c>
      <c r="E71" s="127">
        <v>1599.3979999999999</v>
      </c>
      <c r="F71" s="127">
        <v>1599.799</v>
      </c>
      <c r="G71" s="127">
        <v>1599.8969999999999</v>
      </c>
    </row>
    <row r="72" spans="1:7" x14ac:dyDescent="0.15">
      <c r="A72" s="119"/>
      <c r="B72" s="119"/>
      <c r="C72" s="119"/>
      <c r="D72" s="119"/>
      <c r="E72" s="119"/>
      <c r="F72" s="119"/>
      <c r="G72" s="119"/>
    </row>
    <row r="73" spans="1:7" x14ac:dyDescent="0.15">
      <c r="A73" s="119" t="s">
        <v>119</v>
      </c>
      <c r="B73" s="126">
        <v>44.28</v>
      </c>
      <c r="C73" s="126">
        <v>56.31</v>
      </c>
      <c r="D73" s="126">
        <v>62.1</v>
      </c>
      <c r="E73" s="126">
        <v>59.9</v>
      </c>
      <c r="F73" s="126">
        <v>49.56</v>
      </c>
      <c r="G73" s="126">
        <v>47.493616000000003</v>
      </c>
    </row>
    <row r="74" spans="1:7" x14ac:dyDescent="0.15">
      <c r="A74" s="119" t="s">
        <v>120</v>
      </c>
      <c r="B74" s="126">
        <v>44.28</v>
      </c>
      <c r="C74" s="126">
        <v>56.31</v>
      </c>
      <c r="D74" s="126">
        <v>62.1</v>
      </c>
      <c r="E74" s="126">
        <v>59.9</v>
      </c>
      <c r="F74" s="126">
        <v>49.56</v>
      </c>
      <c r="G74" s="126">
        <v>47.493616000000003</v>
      </c>
    </row>
    <row r="75" spans="1:7" x14ac:dyDescent="0.15">
      <c r="A75" s="119" t="s">
        <v>121</v>
      </c>
      <c r="B75" s="127">
        <v>1603.9380000000001</v>
      </c>
      <c r="C75" s="127">
        <v>1600.579</v>
      </c>
      <c r="D75" s="127">
        <v>1600.9079999999999</v>
      </c>
      <c r="E75" s="127">
        <v>1601.277</v>
      </c>
      <c r="F75" s="127">
        <v>1601.6510000000001</v>
      </c>
      <c r="G75" s="127">
        <v>1611.315636</v>
      </c>
    </row>
    <row r="76" spans="1:7" x14ac:dyDescent="0.15">
      <c r="A76" s="119"/>
      <c r="B76" s="119"/>
      <c r="C76" s="119"/>
      <c r="D76" s="119"/>
      <c r="E76" s="119"/>
      <c r="F76" s="119"/>
      <c r="G76" s="119"/>
    </row>
    <row r="77" spans="1:7" x14ac:dyDescent="0.15">
      <c r="A77" s="119" t="s">
        <v>122</v>
      </c>
      <c r="B77" s="126">
        <v>47.844107000000001</v>
      </c>
      <c r="C77" s="126">
        <v>54.302405</v>
      </c>
      <c r="D77" s="126">
        <v>52.099162</v>
      </c>
      <c r="E77" s="126">
        <v>54.974198999999999</v>
      </c>
      <c r="F77" s="126">
        <v>47.292659</v>
      </c>
      <c r="G77" s="126">
        <v>44.240347</v>
      </c>
    </row>
    <row r="78" spans="1:7" x14ac:dyDescent="0.15">
      <c r="A78" s="119" t="s">
        <v>123</v>
      </c>
      <c r="B78" s="126">
        <v>47.786448</v>
      </c>
      <c r="C78" s="126">
        <v>54.234279999999998</v>
      </c>
      <c r="D78" s="126">
        <v>52.039217000000001</v>
      </c>
      <c r="E78" s="126">
        <v>54.909689999999998</v>
      </c>
      <c r="F78" s="126">
        <v>47.237974999999999</v>
      </c>
      <c r="G78" s="126">
        <v>43.926836999999999</v>
      </c>
    </row>
    <row r="79" spans="1:7" x14ac:dyDescent="0.15">
      <c r="A79" s="119"/>
      <c r="B79" s="119"/>
      <c r="C79" s="119"/>
      <c r="D79" s="119"/>
      <c r="E79" s="119"/>
      <c r="F79" s="119"/>
      <c r="G79" s="119"/>
    </row>
    <row r="80" spans="1:7" x14ac:dyDescent="0.15">
      <c r="A80" s="119" t="s">
        <v>124</v>
      </c>
      <c r="B80" s="126">
        <v>11</v>
      </c>
      <c r="C80" s="126">
        <v>13</v>
      </c>
      <c r="D80" s="126">
        <v>14</v>
      </c>
      <c r="E80" s="126">
        <v>15</v>
      </c>
      <c r="F80" s="126">
        <v>16</v>
      </c>
      <c r="G80" s="126">
        <v>16</v>
      </c>
    </row>
    <row r="81" spans="1:7" x14ac:dyDescent="0.15">
      <c r="A81" s="119" t="s">
        <v>126</v>
      </c>
      <c r="B81" s="133">
        <v>0.227608</v>
      </c>
      <c r="C81" s="133">
        <v>0.21301999999999999</v>
      </c>
      <c r="D81" s="133">
        <v>0.225271</v>
      </c>
      <c r="E81" s="133">
        <v>0.23354</v>
      </c>
      <c r="F81" s="133">
        <v>0.32255299999999998</v>
      </c>
      <c r="G81" s="133">
        <v>0.33461299999999999</v>
      </c>
    </row>
    <row r="82" spans="1:7" x14ac:dyDescent="0.15">
      <c r="A82" s="119"/>
      <c r="B82" s="119"/>
      <c r="C82" s="119"/>
      <c r="D82" s="119"/>
      <c r="E82" s="119"/>
      <c r="F82" s="119"/>
      <c r="G82" s="119"/>
    </row>
    <row r="83" spans="1:7" x14ac:dyDescent="0.15">
      <c r="A83" s="119" t="s">
        <v>350</v>
      </c>
      <c r="B83" s="134">
        <v>2</v>
      </c>
      <c r="C83" s="134">
        <v>2</v>
      </c>
      <c r="D83" s="134">
        <v>2</v>
      </c>
      <c r="E83" s="134">
        <v>2</v>
      </c>
      <c r="F83" s="134">
        <v>2</v>
      </c>
      <c r="G83" s="134">
        <v>2</v>
      </c>
    </row>
    <row r="84" spans="1:7" x14ac:dyDescent="0.15">
      <c r="A84" s="119"/>
      <c r="B84" s="119"/>
      <c r="C84" s="119"/>
      <c r="D84" s="119"/>
      <c r="E84" s="119"/>
      <c r="F84" s="119"/>
      <c r="G84" s="119"/>
    </row>
    <row r="85" spans="1:7" x14ac:dyDescent="0.15">
      <c r="A85" s="118" t="s">
        <v>127</v>
      </c>
      <c r="B85" s="119"/>
      <c r="C85" s="119"/>
      <c r="D85" s="119"/>
      <c r="E85" s="119"/>
      <c r="F85" s="119"/>
      <c r="G85" s="119"/>
    </row>
    <row r="86" spans="1:7" x14ac:dyDescent="0.15">
      <c r="A86" s="119" t="s">
        <v>29</v>
      </c>
      <c r="B86" s="127">
        <v>212547</v>
      </c>
      <c r="C86" s="127">
        <v>254685</v>
      </c>
      <c r="D86" s="127">
        <v>244446</v>
      </c>
      <c r="E86" s="127">
        <v>261144</v>
      </c>
      <c r="F86" s="127">
        <v>254779</v>
      </c>
      <c r="G86" s="127">
        <v>253490</v>
      </c>
    </row>
    <row r="87" spans="1:7" x14ac:dyDescent="0.15">
      <c r="A87" s="119" t="s">
        <v>128</v>
      </c>
      <c r="B87" s="127">
        <v>131067</v>
      </c>
      <c r="C87" s="127">
        <v>163517</v>
      </c>
      <c r="D87" s="127">
        <v>155373</v>
      </c>
      <c r="E87" s="127">
        <v>165329</v>
      </c>
      <c r="F87" s="127">
        <v>153068</v>
      </c>
      <c r="G87" s="127">
        <v>147571</v>
      </c>
    </row>
    <row r="88" spans="1:7" x14ac:dyDescent="0.15">
      <c r="A88" s="119" t="s">
        <v>30</v>
      </c>
      <c r="B88" s="127">
        <v>123481</v>
      </c>
      <c r="C88" s="127">
        <v>154480</v>
      </c>
      <c r="D88" s="127">
        <v>146893</v>
      </c>
      <c r="E88" s="127">
        <v>156464</v>
      </c>
      <c r="F88" s="127">
        <v>141469</v>
      </c>
      <c r="G88" s="127">
        <v>135430</v>
      </c>
    </row>
    <row r="89" spans="1:7" ht="12" x14ac:dyDescent="0.15">
      <c r="A89" s="119" t="s">
        <v>129</v>
      </c>
      <c r="B89" s="127">
        <v>223255</v>
      </c>
      <c r="C89" s="127">
        <v>266103</v>
      </c>
      <c r="D89" s="127">
        <v>255873</v>
      </c>
      <c r="E89" s="127">
        <v>272980</v>
      </c>
      <c r="F89" s="127">
        <v>267128</v>
      </c>
      <c r="G89" s="127" t="s">
        <v>125</v>
      </c>
    </row>
    <row r="90" spans="1:7" x14ac:dyDescent="0.15">
      <c r="A90" s="119" t="s">
        <v>130</v>
      </c>
      <c r="B90" s="133">
        <v>0.34714200000000001</v>
      </c>
      <c r="C90" s="133">
        <v>0.29480099999999998</v>
      </c>
      <c r="D90" s="133">
        <v>0.23788500000000001</v>
      </c>
      <c r="E90" s="133">
        <v>0.244722</v>
      </c>
      <c r="F90" s="133">
        <v>0.31102800000000003</v>
      </c>
      <c r="G90" s="133">
        <v>0.29938300000000001</v>
      </c>
    </row>
    <row r="91" spans="1:7" x14ac:dyDescent="0.15">
      <c r="A91" s="119"/>
      <c r="B91" s="119"/>
      <c r="C91" s="119"/>
      <c r="D91" s="119"/>
      <c r="E91" s="119"/>
      <c r="F91" s="119"/>
      <c r="G91" s="119"/>
    </row>
    <row r="92" spans="1:7" x14ac:dyDescent="0.15">
      <c r="A92" s="119" t="s">
        <v>137</v>
      </c>
      <c r="B92" s="127">
        <v>76646.5</v>
      </c>
      <c r="C92" s="127">
        <v>86806.25</v>
      </c>
      <c r="D92" s="127">
        <v>83310</v>
      </c>
      <c r="E92" s="127">
        <v>87925.625</v>
      </c>
      <c r="F92" s="127">
        <v>75658.75</v>
      </c>
      <c r="G92" s="127">
        <v>70780</v>
      </c>
    </row>
    <row r="93" spans="1:7" ht="12" x14ac:dyDescent="0.15">
      <c r="A93" s="119" t="s">
        <v>139</v>
      </c>
      <c r="B93" s="127">
        <v>4780</v>
      </c>
      <c r="C93" s="127">
        <v>1579</v>
      </c>
      <c r="D93" s="127">
        <v>-5373</v>
      </c>
      <c r="E93" s="127">
        <v>-4590</v>
      </c>
      <c r="F93" s="127">
        <v>-971</v>
      </c>
      <c r="G93" s="127" t="s">
        <v>48</v>
      </c>
    </row>
    <row r="94" spans="1:7" x14ac:dyDescent="0.15">
      <c r="A94" s="119" t="s">
        <v>140</v>
      </c>
      <c r="B94" s="135">
        <v>42179</v>
      </c>
      <c r="C94" s="135">
        <v>42549</v>
      </c>
      <c r="D94" s="135">
        <v>42913</v>
      </c>
      <c r="E94" s="135">
        <v>43277</v>
      </c>
      <c r="F94" s="135">
        <v>43641</v>
      </c>
      <c r="G94" s="135">
        <v>43777</v>
      </c>
    </row>
    <row r="95" spans="1:7" ht="12" x14ac:dyDescent="0.15">
      <c r="A95" s="119" t="s">
        <v>141</v>
      </c>
      <c r="B95" s="124" t="s">
        <v>143</v>
      </c>
      <c r="C95" s="124" t="s">
        <v>143</v>
      </c>
      <c r="D95" s="124" t="s">
        <v>143</v>
      </c>
      <c r="E95" s="124" t="s">
        <v>143</v>
      </c>
      <c r="F95" s="124" t="s">
        <v>143</v>
      </c>
      <c r="G95" s="124" t="s">
        <v>143</v>
      </c>
    </row>
    <row r="96" spans="1:7" ht="12" x14ac:dyDescent="0.15">
      <c r="A96" s="119" t="s">
        <v>144</v>
      </c>
      <c r="B96" s="124" t="s">
        <v>145</v>
      </c>
      <c r="C96" s="124" t="s">
        <v>145</v>
      </c>
      <c r="D96" s="124" t="s">
        <v>145</v>
      </c>
      <c r="E96" s="124" t="s">
        <v>145</v>
      </c>
      <c r="F96" s="124" t="s">
        <v>145</v>
      </c>
      <c r="G96" s="124" t="s">
        <v>146</v>
      </c>
    </row>
    <row r="97" spans="1:7" x14ac:dyDescent="0.15">
      <c r="A97" s="119"/>
      <c r="B97" s="119"/>
      <c r="C97" s="119"/>
      <c r="D97" s="119"/>
      <c r="E97" s="119"/>
      <c r="F97" s="119"/>
      <c r="G97" s="119"/>
    </row>
    <row r="98" spans="1:7" x14ac:dyDescent="0.15">
      <c r="A98" s="118" t="s">
        <v>147</v>
      </c>
      <c r="B98" s="119"/>
      <c r="C98" s="119"/>
      <c r="D98" s="119"/>
      <c r="E98" s="119"/>
      <c r="F98" s="119"/>
      <c r="G98" s="119"/>
    </row>
    <row r="99" spans="1:7" x14ac:dyDescent="0.15">
      <c r="A99" s="119" t="s">
        <v>351</v>
      </c>
      <c r="B99" s="127">
        <v>33531</v>
      </c>
      <c r="C99" s="127">
        <v>33512</v>
      </c>
      <c r="D99" s="127">
        <v>33440</v>
      </c>
      <c r="E99" s="127">
        <v>35114</v>
      </c>
      <c r="F99" s="127">
        <v>36417</v>
      </c>
      <c r="G99" s="127">
        <v>36417</v>
      </c>
    </row>
    <row r="100" spans="1:7" x14ac:dyDescent="0.15">
      <c r="A100" s="119" t="s">
        <v>148</v>
      </c>
      <c r="B100" s="127">
        <v>59504</v>
      </c>
      <c r="C100" s="127">
        <v>58783</v>
      </c>
      <c r="D100" s="127">
        <v>59230</v>
      </c>
      <c r="E100" s="127">
        <v>66229</v>
      </c>
      <c r="F100" s="127">
        <v>66355</v>
      </c>
      <c r="G100" s="127">
        <v>66355</v>
      </c>
    </row>
    <row r="101" spans="1:7" ht="12" x14ac:dyDescent="0.15">
      <c r="A101" s="119" t="s">
        <v>149</v>
      </c>
      <c r="B101" s="127">
        <v>10708</v>
      </c>
      <c r="C101" s="127">
        <v>11418</v>
      </c>
      <c r="D101" s="127">
        <v>11427</v>
      </c>
      <c r="E101" s="127">
        <v>11836</v>
      </c>
      <c r="F101" s="127">
        <v>12349</v>
      </c>
      <c r="G101" s="127" t="s">
        <v>125</v>
      </c>
    </row>
    <row r="102" spans="1:7" ht="12" x14ac:dyDescent="0.15">
      <c r="A102" s="119" t="s">
        <v>150</v>
      </c>
      <c r="B102" s="127">
        <v>812.69436800000005</v>
      </c>
      <c r="C102" s="127">
        <v>702.526704</v>
      </c>
      <c r="D102" s="127">
        <v>602.24860799999999</v>
      </c>
      <c r="E102" s="127">
        <v>632.32646399999999</v>
      </c>
      <c r="F102" s="127">
        <v>792.60821599999997</v>
      </c>
      <c r="G102" s="127" t="s">
        <v>48</v>
      </c>
    </row>
    <row r="103" spans="1:7" ht="12" x14ac:dyDescent="0.15">
      <c r="A103" s="119" t="s">
        <v>151</v>
      </c>
      <c r="B103" s="127">
        <v>9895.3056319999996</v>
      </c>
      <c r="C103" s="127">
        <v>10715.473296</v>
      </c>
      <c r="D103" s="127">
        <v>10824.751392</v>
      </c>
      <c r="E103" s="127">
        <v>11203.673536</v>
      </c>
      <c r="F103" s="127">
        <v>11556.391783999999</v>
      </c>
      <c r="G103" s="127" t="s">
        <v>48</v>
      </c>
    </row>
    <row r="104" spans="1:7" x14ac:dyDescent="0.15">
      <c r="A104" s="119"/>
      <c r="B104" s="119"/>
      <c r="C104" s="119"/>
      <c r="D104" s="119"/>
      <c r="E104" s="119"/>
      <c r="F104" s="119"/>
      <c r="G104" s="119"/>
    </row>
    <row r="105" spans="1:7" ht="12" x14ac:dyDescent="0.15">
      <c r="A105" s="119" t="s">
        <v>335</v>
      </c>
      <c r="B105" s="124" t="s">
        <v>336</v>
      </c>
      <c r="C105" s="124" t="s">
        <v>336</v>
      </c>
      <c r="D105" s="124" t="s">
        <v>336</v>
      </c>
      <c r="E105" s="124" t="s">
        <v>336</v>
      </c>
      <c r="F105" s="124" t="s">
        <v>336</v>
      </c>
      <c r="G105" s="124" t="s">
        <v>337</v>
      </c>
    </row>
    <row r="106" spans="1:7" x14ac:dyDescent="0.15">
      <c r="A106" s="125"/>
      <c r="B106" s="125"/>
      <c r="C106" s="125"/>
      <c r="D106" s="125"/>
      <c r="E106" s="125"/>
      <c r="F106" s="125"/>
      <c r="G106" s="125"/>
    </row>
    <row r="107" spans="1:7" x14ac:dyDescent="0.15">
      <c r="A107" s="136" t="s">
        <v>154</v>
      </c>
    </row>
    <row r="108" spans="1:7" x14ac:dyDescent="0.15">
      <c r="A108" s="130" t="s">
        <v>66</v>
      </c>
    </row>
  </sheetData>
  <pageMargins left="0.2" right="0.2" top="0.5" bottom="0.5" header="0.5" footer="0.5"/>
  <pageSetup fitToWidth="0" fitToHeight="0" orientation="landscape" horizontalDpi="0" verticalDpi="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F167-87A1-4CBF-9209-40C9AF108988}">
  <sheetPr>
    <outlinePr summaryBelow="0" summaryRight="0"/>
    <pageSetUpPr autoPageBreaks="0"/>
  </sheetPr>
  <dimension ref="A5:IU91"/>
  <sheetViews>
    <sheetView workbookViewId="0">
      <selection activeCell="B30" sqref="B30:G30"/>
    </sheetView>
  </sheetViews>
  <sheetFormatPr baseColWidth="10" defaultColWidth="8.75" defaultRowHeight="11" x14ac:dyDescent="0.15"/>
  <cols>
    <col min="1" max="1" width="53.5" style="106" customWidth="1"/>
    <col min="2" max="7" width="17.25" style="106" customWidth="1"/>
    <col min="8" max="256" width="9.25" style="106"/>
    <col min="257" max="257" width="53.5" style="106" customWidth="1"/>
    <col min="258" max="263" width="17.25" style="106" customWidth="1"/>
    <col min="264" max="512" width="9.25" style="106"/>
    <col min="513" max="513" width="53.5" style="106" customWidth="1"/>
    <col min="514" max="519" width="17.25" style="106" customWidth="1"/>
    <col min="520" max="768" width="9.25" style="106"/>
    <col min="769" max="769" width="53.5" style="106" customWidth="1"/>
    <col min="770" max="775" width="17.25" style="106" customWidth="1"/>
    <col min="776" max="1024" width="9.25" style="106"/>
    <col min="1025" max="1025" width="53.5" style="106" customWidth="1"/>
    <col min="1026" max="1031" width="17.25" style="106" customWidth="1"/>
    <col min="1032" max="1280" width="9.25" style="106"/>
    <col min="1281" max="1281" width="53.5" style="106" customWidth="1"/>
    <col min="1282" max="1287" width="17.25" style="106" customWidth="1"/>
    <col min="1288" max="1536" width="9.25" style="106"/>
    <col min="1537" max="1537" width="53.5" style="106" customWidth="1"/>
    <col min="1538" max="1543" width="17.25" style="106" customWidth="1"/>
    <col min="1544" max="1792" width="9.25" style="106"/>
    <col min="1793" max="1793" width="53.5" style="106" customWidth="1"/>
    <col min="1794" max="1799" width="17.25" style="106" customWidth="1"/>
    <col min="1800" max="2048" width="9.25" style="106"/>
    <col min="2049" max="2049" width="53.5" style="106" customWidth="1"/>
    <col min="2050" max="2055" width="17.25" style="106" customWidth="1"/>
    <col min="2056" max="2304" width="9.25" style="106"/>
    <col min="2305" max="2305" width="53.5" style="106" customWidth="1"/>
    <col min="2306" max="2311" width="17.25" style="106" customWidth="1"/>
    <col min="2312" max="2560" width="9.25" style="106"/>
    <col min="2561" max="2561" width="53.5" style="106" customWidth="1"/>
    <col min="2562" max="2567" width="17.25" style="106" customWidth="1"/>
    <col min="2568" max="2816" width="9.25" style="106"/>
    <col min="2817" max="2817" width="53.5" style="106" customWidth="1"/>
    <col min="2818" max="2823" width="17.25" style="106" customWidth="1"/>
    <col min="2824" max="3072" width="9.25" style="106"/>
    <col min="3073" max="3073" width="53.5" style="106" customWidth="1"/>
    <col min="3074" max="3079" width="17.25" style="106" customWidth="1"/>
    <col min="3080" max="3328" width="9.25" style="106"/>
    <col min="3329" max="3329" width="53.5" style="106" customWidth="1"/>
    <col min="3330" max="3335" width="17.25" style="106" customWidth="1"/>
    <col min="3336" max="3584" width="9.25" style="106"/>
    <col min="3585" max="3585" width="53.5" style="106" customWidth="1"/>
    <col min="3586" max="3591" width="17.25" style="106" customWidth="1"/>
    <col min="3592" max="3840" width="9.25" style="106"/>
    <col min="3841" max="3841" width="53.5" style="106" customWidth="1"/>
    <col min="3842" max="3847" width="17.25" style="106" customWidth="1"/>
    <col min="3848" max="4096" width="9.25" style="106"/>
    <col min="4097" max="4097" width="53.5" style="106" customWidth="1"/>
    <col min="4098" max="4103" width="17.25" style="106" customWidth="1"/>
    <col min="4104" max="4352" width="9.25" style="106"/>
    <col min="4353" max="4353" width="53.5" style="106" customWidth="1"/>
    <col min="4354" max="4359" width="17.25" style="106" customWidth="1"/>
    <col min="4360" max="4608" width="9.25" style="106"/>
    <col min="4609" max="4609" width="53.5" style="106" customWidth="1"/>
    <col min="4610" max="4615" width="17.25" style="106" customWidth="1"/>
    <col min="4616" max="4864" width="9.25" style="106"/>
    <col min="4865" max="4865" width="53.5" style="106" customWidth="1"/>
    <col min="4866" max="4871" width="17.25" style="106" customWidth="1"/>
    <col min="4872" max="5120" width="9.25" style="106"/>
    <col min="5121" max="5121" width="53.5" style="106" customWidth="1"/>
    <col min="5122" max="5127" width="17.25" style="106" customWidth="1"/>
    <col min="5128" max="5376" width="9.25" style="106"/>
    <col min="5377" max="5377" width="53.5" style="106" customWidth="1"/>
    <col min="5378" max="5383" width="17.25" style="106" customWidth="1"/>
    <col min="5384" max="5632" width="9.25" style="106"/>
    <col min="5633" max="5633" width="53.5" style="106" customWidth="1"/>
    <col min="5634" max="5639" width="17.25" style="106" customWidth="1"/>
    <col min="5640" max="5888" width="9.25" style="106"/>
    <col min="5889" max="5889" width="53.5" style="106" customWidth="1"/>
    <col min="5890" max="5895" width="17.25" style="106" customWidth="1"/>
    <col min="5896" max="6144" width="9.25" style="106"/>
    <col min="6145" max="6145" width="53.5" style="106" customWidth="1"/>
    <col min="6146" max="6151" width="17.25" style="106" customWidth="1"/>
    <col min="6152" max="6400" width="9.25" style="106"/>
    <col min="6401" max="6401" width="53.5" style="106" customWidth="1"/>
    <col min="6402" max="6407" width="17.25" style="106" customWidth="1"/>
    <col min="6408" max="6656" width="9.25" style="106"/>
    <col min="6657" max="6657" width="53.5" style="106" customWidth="1"/>
    <col min="6658" max="6663" width="17.25" style="106" customWidth="1"/>
    <col min="6664" max="6912" width="9.25" style="106"/>
    <col min="6913" max="6913" width="53.5" style="106" customWidth="1"/>
    <col min="6914" max="6919" width="17.25" style="106" customWidth="1"/>
    <col min="6920" max="7168" width="9.25" style="106"/>
    <col min="7169" max="7169" width="53.5" style="106" customWidth="1"/>
    <col min="7170" max="7175" width="17.25" style="106" customWidth="1"/>
    <col min="7176" max="7424" width="9.25" style="106"/>
    <col min="7425" max="7425" width="53.5" style="106" customWidth="1"/>
    <col min="7426" max="7431" width="17.25" style="106" customWidth="1"/>
    <col min="7432" max="7680" width="9.25" style="106"/>
    <col min="7681" max="7681" width="53.5" style="106" customWidth="1"/>
    <col min="7682" max="7687" width="17.25" style="106" customWidth="1"/>
    <col min="7688" max="7936" width="9.25" style="106"/>
    <col min="7937" max="7937" width="53.5" style="106" customWidth="1"/>
    <col min="7938" max="7943" width="17.25" style="106" customWidth="1"/>
    <col min="7944" max="8192" width="9.25" style="106"/>
    <col min="8193" max="8193" width="53.5" style="106" customWidth="1"/>
    <col min="8194" max="8199" width="17.25" style="106" customWidth="1"/>
    <col min="8200" max="8448" width="9.25" style="106"/>
    <col min="8449" max="8449" width="53.5" style="106" customWidth="1"/>
    <col min="8450" max="8455" width="17.25" style="106" customWidth="1"/>
    <col min="8456" max="8704" width="9.25" style="106"/>
    <col min="8705" max="8705" width="53.5" style="106" customWidth="1"/>
    <col min="8706" max="8711" width="17.25" style="106" customWidth="1"/>
    <col min="8712" max="8960" width="9.25" style="106"/>
    <col min="8961" max="8961" width="53.5" style="106" customWidth="1"/>
    <col min="8962" max="8967" width="17.25" style="106" customWidth="1"/>
    <col min="8968" max="9216" width="9.25" style="106"/>
    <col min="9217" max="9217" width="53.5" style="106" customWidth="1"/>
    <col min="9218" max="9223" width="17.25" style="106" customWidth="1"/>
    <col min="9224" max="9472" width="9.25" style="106"/>
    <col min="9473" max="9473" width="53.5" style="106" customWidth="1"/>
    <col min="9474" max="9479" width="17.25" style="106" customWidth="1"/>
    <col min="9480" max="9728" width="9.25" style="106"/>
    <col min="9729" max="9729" width="53.5" style="106" customWidth="1"/>
    <col min="9730" max="9735" width="17.25" style="106" customWidth="1"/>
    <col min="9736" max="9984" width="9.25" style="106"/>
    <col min="9985" max="9985" width="53.5" style="106" customWidth="1"/>
    <col min="9986" max="9991" width="17.25" style="106" customWidth="1"/>
    <col min="9992" max="10240" width="9.25" style="106"/>
    <col min="10241" max="10241" width="53.5" style="106" customWidth="1"/>
    <col min="10242" max="10247" width="17.25" style="106" customWidth="1"/>
    <col min="10248" max="10496" width="9.25" style="106"/>
    <col min="10497" max="10497" width="53.5" style="106" customWidth="1"/>
    <col min="10498" max="10503" width="17.25" style="106" customWidth="1"/>
    <col min="10504" max="10752" width="9.25" style="106"/>
    <col min="10753" max="10753" width="53.5" style="106" customWidth="1"/>
    <col min="10754" max="10759" width="17.25" style="106" customWidth="1"/>
    <col min="10760" max="11008" width="9.25" style="106"/>
    <col min="11009" max="11009" width="53.5" style="106" customWidth="1"/>
    <col min="11010" max="11015" width="17.25" style="106" customWidth="1"/>
    <col min="11016" max="11264" width="9.25" style="106"/>
    <col min="11265" max="11265" width="53.5" style="106" customWidth="1"/>
    <col min="11266" max="11271" width="17.25" style="106" customWidth="1"/>
    <col min="11272" max="11520" width="9.25" style="106"/>
    <col min="11521" max="11521" width="53.5" style="106" customWidth="1"/>
    <col min="11522" max="11527" width="17.25" style="106" customWidth="1"/>
    <col min="11528" max="11776" width="9.25" style="106"/>
    <col min="11777" max="11777" width="53.5" style="106" customWidth="1"/>
    <col min="11778" max="11783" width="17.25" style="106" customWidth="1"/>
    <col min="11784" max="12032" width="9.25" style="106"/>
    <col min="12033" max="12033" width="53.5" style="106" customWidth="1"/>
    <col min="12034" max="12039" width="17.25" style="106" customWidth="1"/>
    <col min="12040" max="12288" width="9.25" style="106"/>
    <col min="12289" max="12289" width="53.5" style="106" customWidth="1"/>
    <col min="12290" max="12295" width="17.25" style="106" customWidth="1"/>
    <col min="12296" max="12544" width="9.25" style="106"/>
    <col min="12545" max="12545" width="53.5" style="106" customWidth="1"/>
    <col min="12546" max="12551" width="17.25" style="106" customWidth="1"/>
    <col min="12552" max="12800" width="9.25" style="106"/>
    <col min="12801" max="12801" width="53.5" style="106" customWidth="1"/>
    <col min="12802" max="12807" width="17.25" style="106" customWidth="1"/>
    <col min="12808" max="13056" width="9.25" style="106"/>
    <col min="13057" max="13057" width="53.5" style="106" customWidth="1"/>
    <col min="13058" max="13063" width="17.25" style="106" customWidth="1"/>
    <col min="13064" max="13312" width="9.25" style="106"/>
    <col min="13313" max="13313" width="53.5" style="106" customWidth="1"/>
    <col min="13314" max="13319" width="17.25" style="106" customWidth="1"/>
    <col min="13320" max="13568" width="9.25" style="106"/>
    <col min="13569" max="13569" width="53.5" style="106" customWidth="1"/>
    <col min="13570" max="13575" width="17.25" style="106" customWidth="1"/>
    <col min="13576" max="13824" width="9.25" style="106"/>
    <col min="13825" max="13825" width="53.5" style="106" customWidth="1"/>
    <col min="13826" max="13831" width="17.25" style="106" customWidth="1"/>
    <col min="13832" max="14080" width="9.25" style="106"/>
    <col min="14081" max="14081" width="53.5" style="106" customWidth="1"/>
    <col min="14082" max="14087" width="17.25" style="106" customWidth="1"/>
    <col min="14088" max="14336" width="9.25" style="106"/>
    <col min="14337" max="14337" width="53.5" style="106" customWidth="1"/>
    <col min="14338" max="14343" width="17.25" style="106" customWidth="1"/>
    <col min="14344" max="14592" width="9.25" style="106"/>
    <col min="14593" max="14593" width="53.5" style="106" customWidth="1"/>
    <col min="14594" max="14599" width="17.25" style="106" customWidth="1"/>
    <col min="14600" max="14848" width="9.25" style="106"/>
    <col min="14849" max="14849" width="53.5" style="106" customWidth="1"/>
    <col min="14850" max="14855" width="17.25" style="106" customWidth="1"/>
    <col min="14856" max="15104" width="9.25" style="106"/>
    <col min="15105" max="15105" width="53.5" style="106" customWidth="1"/>
    <col min="15106" max="15111" width="17.25" style="106" customWidth="1"/>
    <col min="15112" max="15360" width="9.25" style="106"/>
    <col min="15361" max="15361" width="53.5" style="106" customWidth="1"/>
    <col min="15362" max="15367" width="17.25" style="106" customWidth="1"/>
    <col min="15368" max="15616" width="9.25" style="106"/>
    <col min="15617" max="15617" width="53.5" style="106" customWidth="1"/>
    <col min="15618" max="15623" width="17.25" style="106" customWidth="1"/>
    <col min="15624" max="15872" width="9.25" style="106"/>
    <col min="15873" max="15873" width="53.5" style="106" customWidth="1"/>
    <col min="15874" max="15879" width="17.25" style="106" customWidth="1"/>
    <col min="15880" max="16128" width="9.25" style="106"/>
    <col min="16129" max="16129" width="53.5" style="106" customWidth="1"/>
    <col min="16130" max="16135" width="17.25" style="106" customWidth="1"/>
    <col min="16136" max="16384" width="9.25" style="106"/>
  </cols>
  <sheetData>
    <row r="5" spans="1:255" ht="17" x14ac:dyDescent="0.2">
      <c r="A5" s="105" t="s">
        <v>352</v>
      </c>
    </row>
    <row r="7" spans="1:255" ht="12" x14ac:dyDescent="0.15">
      <c r="A7" s="107" t="s">
        <v>68</v>
      </c>
      <c r="B7" s="108" t="s">
        <v>69</v>
      </c>
      <c r="C7" s="106" t="s">
        <v>70</v>
      </c>
      <c r="D7" s="109" t="s">
        <v>4</v>
      </c>
      <c r="E7" s="108" t="s">
        <v>71</v>
      </c>
      <c r="F7" s="106" t="s">
        <v>72</v>
      </c>
    </row>
    <row r="8" spans="1:255" x14ac:dyDescent="0.15">
      <c r="A8" s="109"/>
      <c r="B8" s="108" t="s">
        <v>73</v>
      </c>
      <c r="C8" s="106" t="s">
        <v>74</v>
      </c>
      <c r="D8" s="109" t="s">
        <v>4</v>
      </c>
      <c r="E8" s="108" t="s">
        <v>7</v>
      </c>
      <c r="F8" s="106" t="s">
        <v>8</v>
      </c>
    </row>
    <row r="9" spans="1:255" x14ac:dyDescent="0.15">
      <c r="A9" s="109"/>
      <c r="B9" s="108" t="s">
        <v>2</v>
      </c>
      <c r="C9" s="106" t="s">
        <v>75</v>
      </c>
      <c r="D9" s="109" t="s">
        <v>4</v>
      </c>
      <c r="E9" s="108" t="s">
        <v>5</v>
      </c>
      <c r="F9" s="106" t="s">
        <v>327</v>
      </c>
    </row>
    <row r="10" spans="1:255" x14ac:dyDescent="0.15">
      <c r="A10" s="109"/>
      <c r="B10" s="108" t="s">
        <v>9</v>
      </c>
      <c r="C10" s="106" t="s">
        <v>10</v>
      </c>
      <c r="D10" s="109" t="s">
        <v>4</v>
      </c>
      <c r="E10" s="108" t="s">
        <v>11</v>
      </c>
      <c r="F10" s="110" t="s">
        <v>12</v>
      </c>
    </row>
    <row r="13" spans="1:255" x14ac:dyDescent="0.15">
      <c r="A13" s="112" t="s">
        <v>156</v>
      </c>
      <c r="B13" s="112"/>
      <c r="C13" s="112"/>
      <c r="D13" s="112"/>
      <c r="E13" s="112"/>
      <c r="F13" s="112"/>
      <c r="G13" s="112"/>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c r="DQ13" s="113"/>
      <c r="DR13" s="113"/>
      <c r="DS13" s="113"/>
      <c r="DT13" s="113"/>
      <c r="DU13" s="113"/>
      <c r="DV13" s="113"/>
      <c r="DW13" s="113"/>
      <c r="DX13" s="113"/>
      <c r="DY13" s="113"/>
      <c r="DZ13" s="113"/>
      <c r="EA13" s="113"/>
      <c r="EB13" s="113"/>
      <c r="EC13" s="113"/>
      <c r="ED13" s="113"/>
      <c r="EE13" s="113"/>
      <c r="EF13" s="113"/>
      <c r="EG13" s="113"/>
      <c r="EH13" s="113"/>
      <c r="EI13" s="113"/>
      <c r="EJ13" s="113"/>
      <c r="EK13" s="113"/>
      <c r="EL13" s="113"/>
      <c r="EM13" s="113"/>
      <c r="EN13" s="113"/>
      <c r="EO13" s="113"/>
      <c r="EP13" s="113"/>
      <c r="EQ13" s="113"/>
      <c r="ER13" s="113"/>
      <c r="ES13" s="113"/>
      <c r="ET13" s="113"/>
      <c r="EU13" s="113"/>
      <c r="EV13" s="113"/>
      <c r="EW13" s="113"/>
      <c r="EX13" s="113"/>
      <c r="EY13" s="113"/>
      <c r="EZ13" s="113"/>
      <c r="FA13" s="113"/>
      <c r="FB13" s="113"/>
      <c r="FC13" s="113"/>
      <c r="FD13" s="113"/>
      <c r="FE13" s="113"/>
      <c r="FF13" s="113"/>
      <c r="FG13" s="113"/>
      <c r="FH13" s="113"/>
      <c r="FI13" s="113"/>
      <c r="FJ13" s="113"/>
      <c r="FK13" s="113"/>
      <c r="FL13" s="113"/>
      <c r="FM13" s="113"/>
      <c r="FN13" s="113"/>
      <c r="FO13" s="113"/>
      <c r="FP13" s="113"/>
      <c r="FQ13" s="113"/>
      <c r="FR13" s="113"/>
      <c r="FS13" s="113"/>
      <c r="FT13" s="113"/>
      <c r="FU13" s="113"/>
      <c r="FV13" s="113"/>
      <c r="FW13" s="113"/>
      <c r="FX13" s="113"/>
      <c r="FY13" s="113"/>
      <c r="FZ13" s="113"/>
      <c r="GA13" s="113"/>
      <c r="GB13" s="113"/>
      <c r="GC13" s="113"/>
      <c r="GD13" s="113"/>
      <c r="GE13" s="113"/>
      <c r="GF13" s="113"/>
      <c r="GG13" s="113"/>
      <c r="GH13" s="113"/>
      <c r="GI13" s="113"/>
      <c r="GJ13" s="113"/>
      <c r="GK13" s="113"/>
      <c r="GL13" s="113"/>
      <c r="GM13" s="113"/>
      <c r="GN13" s="113"/>
      <c r="GO13" s="113"/>
      <c r="GP13" s="113"/>
      <c r="GQ13" s="113"/>
      <c r="GR13" s="113"/>
      <c r="GS13" s="113"/>
      <c r="GT13" s="113"/>
      <c r="GU13" s="113"/>
      <c r="GV13" s="113"/>
      <c r="GW13" s="113"/>
      <c r="GX13" s="113"/>
      <c r="GY13" s="113"/>
      <c r="GZ13" s="113"/>
      <c r="HA13" s="113"/>
      <c r="HB13" s="113"/>
      <c r="HC13" s="113"/>
      <c r="HD13" s="113"/>
      <c r="HE13" s="113"/>
      <c r="HF13" s="113"/>
      <c r="HG13" s="113"/>
      <c r="HH13" s="113"/>
      <c r="HI13" s="113"/>
      <c r="HJ13" s="113"/>
      <c r="HK13" s="113"/>
      <c r="HL13" s="113"/>
      <c r="HM13" s="113"/>
      <c r="HN13" s="113"/>
      <c r="HO13" s="113"/>
      <c r="HP13" s="113"/>
      <c r="HQ13" s="113"/>
      <c r="HR13" s="113"/>
      <c r="HS13" s="113"/>
      <c r="HT13" s="113"/>
      <c r="HU13" s="113"/>
      <c r="HV13" s="113"/>
      <c r="HW13" s="113"/>
      <c r="HX13" s="113"/>
      <c r="HY13" s="113"/>
      <c r="HZ13" s="113"/>
      <c r="IA13" s="113"/>
      <c r="IB13" s="113"/>
      <c r="IC13" s="113"/>
      <c r="ID13" s="113"/>
      <c r="IE13" s="113"/>
      <c r="IF13" s="113"/>
      <c r="IG13" s="113"/>
      <c r="IH13" s="113"/>
      <c r="II13" s="113"/>
      <c r="IJ13" s="113"/>
      <c r="IK13" s="113"/>
      <c r="IL13" s="113"/>
      <c r="IM13" s="113"/>
      <c r="IN13" s="113"/>
      <c r="IO13" s="113"/>
      <c r="IP13" s="113"/>
      <c r="IQ13" s="113"/>
      <c r="IR13" s="113"/>
      <c r="IS13" s="113"/>
      <c r="IT13" s="113"/>
      <c r="IU13" s="113"/>
    </row>
    <row r="14" spans="1:255" ht="24" x14ac:dyDescent="0.15">
      <c r="A14" s="114" t="s">
        <v>157</v>
      </c>
      <c r="B14" s="137">
        <v>42094</v>
      </c>
      <c r="C14" s="137">
        <v>42460</v>
      </c>
      <c r="D14" s="137">
        <v>42825</v>
      </c>
      <c r="E14" s="137">
        <v>43190</v>
      </c>
      <c r="F14" s="137">
        <v>43555</v>
      </c>
      <c r="G14" s="137">
        <v>43738</v>
      </c>
    </row>
    <row r="15" spans="1:255" ht="12" x14ac:dyDescent="0.15">
      <c r="A15" s="116" t="s">
        <v>23</v>
      </c>
      <c r="B15" s="117" t="s">
        <v>334</v>
      </c>
      <c r="C15" s="117" t="s">
        <v>334</v>
      </c>
      <c r="D15" s="117" t="s">
        <v>334</v>
      </c>
      <c r="E15" s="117" t="s">
        <v>334</v>
      </c>
      <c r="F15" s="117" t="s">
        <v>334</v>
      </c>
      <c r="G15" s="117" t="s">
        <v>334</v>
      </c>
    </row>
    <row r="16" spans="1:255" x14ac:dyDescent="0.15">
      <c r="A16" s="118" t="s">
        <v>158</v>
      </c>
      <c r="B16" s="119"/>
      <c r="C16" s="119"/>
      <c r="D16" s="119"/>
      <c r="E16" s="119"/>
      <c r="F16" s="119"/>
      <c r="G16" s="119"/>
    </row>
    <row r="17" spans="1:7" x14ac:dyDescent="0.15">
      <c r="A17" s="119" t="s">
        <v>159</v>
      </c>
      <c r="B17" s="127">
        <v>116193</v>
      </c>
      <c r="C17" s="127">
        <v>120168</v>
      </c>
      <c r="D17" s="127">
        <v>143111</v>
      </c>
      <c r="E17" s="127">
        <v>141101</v>
      </c>
      <c r="F17" s="127">
        <v>168507</v>
      </c>
      <c r="G17" s="127">
        <v>142013</v>
      </c>
    </row>
    <row r="18" spans="1:7" x14ac:dyDescent="0.15">
      <c r="A18" s="118" t="s">
        <v>160</v>
      </c>
      <c r="B18" s="131">
        <v>116193</v>
      </c>
      <c r="C18" s="131">
        <v>120168</v>
      </c>
      <c r="D18" s="131">
        <v>143111</v>
      </c>
      <c r="E18" s="131">
        <v>141101</v>
      </c>
      <c r="F18" s="131">
        <v>168507</v>
      </c>
      <c r="G18" s="131">
        <v>142013</v>
      </c>
    </row>
    <row r="19" spans="1:7" x14ac:dyDescent="0.15">
      <c r="A19" s="119"/>
      <c r="B19" s="119"/>
      <c r="C19" s="119"/>
      <c r="D19" s="119"/>
      <c r="E19" s="119"/>
      <c r="F19" s="119"/>
      <c r="G19" s="119"/>
    </row>
    <row r="20" spans="1:7" x14ac:dyDescent="0.15">
      <c r="A20" s="119" t="s">
        <v>161</v>
      </c>
      <c r="B20" s="127">
        <v>403628</v>
      </c>
      <c r="C20" s="127">
        <v>400429</v>
      </c>
      <c r="D20" s="127">
        <v>423917</v>
      </c>
      <c r="E20" s="127">
        <v>487512</v>
      </c>
      <c r="F20" s="127">
        <v>528778</v>
      </c>
      <c r="G20" s="127">
        <v>496533</v>
      </c>
    </row>
    <row r="21" spans="1:7" x14ac:dyDescent="0.15">
      <c r="A21" s="118" t="s">
        <v>162</v>
      </c>
      <c r="B21" s="131">
        <v>403628</v>
      </c>
      <c r="C21" s="131">
        <v>400429</v>
      </c>
      <c r="D21" s="131">
        <v>423917</v>
      </c>
      <c r="E21" s="131">
        <v>487512</v>
      </c>
      <c r="F21" s="131">
        <v>528778</v>
      </c>
      <c r="G21" s="131">
        <v>496533</v>
      </c>
    </row>
    <row r="22" spans="1:7" x14ac:dyDescent="0.15">
      <c r="A22" s="119"/>
      <c r="B22" s="119"/>
      <c r="C22" s="119"/>
      <c r="D22" s="119"/>
      <c r="E22" s="119"/>
      <c r="F22" s="119"/>
      <c r="G22" s="119"/>
    </row>
    <row r="23" spans="1:7" x14ac:dyDescent="0.15">
      <c r="A23" s="119" t="s">
        <v>163</v>
      </c>
      <c r="B23" s="127">
        <v>391629</v>
      </c>
      <c r="C23" s="127">
        <v>394034</v>
      </c>
      <c r="D23" s="127">
        <v>409332</v>
      </c>
      <c r="E23" s="127">
        <v>439673</v>
      </c>
      <c r="F23" s="127">
        <v>419527</v>
      </c>
      <c r="G23" s="127">
        <v>412660</v>
      </c>
    </row>
    <row r="24" spans="1:7" ht="12" x14ac:dyDescent="0.15">
      <c r="A24" s="119" t="s">
        <v>165</v>
      </c>
      <c r="B24" s="127">
        <v>31034</v>
      </c>
      <c r="C24" s="127">
        <v>24113</v>
      </c>
      <c r="D24" s="127">
        <v>26438</v>
      </c>
      <c r="E24" s="127">
        <v>25641</v>
      </c>
      <c r="F24" s="127" t="s">
        <v>48</v>
      </c>
      <c r="G24" s="127" t="s">
        <v>48</v>
      </c>
    </row>
    <row r="25" spans="1:7" x14ac:dyDescent="0.15">
      <c r="A25" s="119" t="s">
        <v>166</v>
      </c>
      <c r="B25" s="127">
        <v>75384</v>
      </c>
      <c r="C25" s="127">
        <v>70815</v>
      </c>
      <c r="D25" s="127">
        <v>63911</v>
      </c>
      <c r="E25" s="127">
        <v>58739</v>
      </c>
      <c r="F25" s="127">
        <v>74517</v>
      </c>
      <c r="G25" s="127">
        <v>82164</v>
      </c>
    </row>
    <row r="26" spans="1:7" x14ac:dyDescent="0.15">
      <c r="A26" s="118" t="s">
        <v>167</v>
      </c>
      <c r="B26" s="131">
        <v>1017868</v>
      </c>
      <c r="C26" s="131">
        <v>1009559</v>
      </c>
      <c r="D26" s="131">
        <v>1066709</v>
      </c>
      <c r="E26" s="131">
        <v>1152666</v>
      </c>
      <c r="F26" s="131">
        <v>1191329</v>
      </c>
      <c r="G26" s="131">
        <v>1133370</v>
      </c>
    </row>
    <row r="27" spans="1:7" x14ac:dyDescent="0.15">
      <c r="A27" s="119"/>
      <c r="B27" s="119"/>
      <c r="C27" s="119"/>
      <c r="D27" s="119"/>
      <c r="E27" s="119"/>
      <c r="F27" s="119"/>
      <c r="G27" s="119"/>
    </row>
    <row r="28" spans="1:7" x14ac:dyDescent="0.15">
      <c r="A28" s="118" t="s">
        <v>170</v>
      </c>
      <c r="B28" s="131">
        <v>855593</v>
      </c>
      <c r="C28" s="131">
        <v>830612</v>
      </c>
      <c r="D28" s="131">
        <v>881434</v>
      </c>
      <c r="E28" s="131">
        <v>927029</v>
      </c>
      <c r="F28" s="131">
        <v>996876</v>
      </c>
      <c r="G28" s="131">
        <v>993450</v>
      </c>
    </row>
    <row r="29" spans="1:7" x14ac:dyDescent="0.15">
      <c r="A29" s="119"/>
      <c r="B29" s="146">
        <f>B28/'Income Statement (2)'!B19</f>
        <v>0.42551277294759027</v>
      </c>
      <c r="C29" s="146">
        <f>C28/'Income Statement (2)'!C19</f>
        <v>0.39469690129868895</v>
      </c>
      <c r="D29" s="146">
        <f>D28/'Income Statement (2)'!D19</f>
        <v>0.43496030042388983</v>
      </c>
      <c r="E29" s="146">
        <f>E28/'Income Statement (2)'!E19</f>
        <v>0.4204483916878094</v>
      </c>
      <c r="F29" s="146">
        <f>F28/'Income Statement (2)'!F19</f>
        <v>0.41730407292552729</v>
      </c>
      <c r="G29" s="146">
        <f>G28/'Income Statement (2)'!G19</f>
        <v>0.42821212976752104</v>
      </c>
    </row>
    <row r="30" spans="1:7" x14ac:dyDescent="0.15">
      <c r="A30" s="119"/>
      <c r="B30" s="146">
        <f>1/B29</f>
        <v>2.3501057161524228</v>
      </c>
      <c r="C30" s="146">
        <f t="shared" ref="C30:G30" si="0">1/C29</f>
        <v>2.5335896904932746</v>
      </c>
      <c r="D30" s="146">
        <f t="shared" si="0"/>
        <v>2.2990603947658022</v>
      </c>
      <c r="E30" s="146">
        <f t="shared" si="0"/>
        <v>2.3784131887999189</v>
      </c>
      <c r="F30" s="146">
        <f t="shared" si="0"/>
        <v>2.3963341478779707</v>
      </c>
      <c r="G30" s="146">
        <f t="shared" si="0"/>
        <v>2.3352911570788666</v>
      </c>
    </row>
    <row r="31" spans="1:7" x14ac:dyDescent="0.15">
      <c r="A31" s="119"/>
      <c r="B31" s="146"/>
      <c r="C31" s="146"/>
      <c r="D31" s="146"/>
      <c r="E31" s="146"/>
      <c r="F31" s="146"/>
      <c r="G31" s="146"/>
    </row>
    <row r="32" spans="1:7" x14ac:dyDescent="0.15">
      <c r="A32" s="119" t="s">
        <v>171</v>
      </c>
      <c r="B32" s="127">
        <v>371141</v>
      </c>
      <c r="C32" s="127">
        <v>336929</v>
      </c>
      <c r="D32" s="127">
        <v>356268</v>
      </c>
      <c r="E32" s="127">
        <v>430223</v>
      </c>
      <c r="F32" s="127">
        <v>404442</v>
      </c>
      <c r="G32" s="127">
        <v>415993</v>
      </c>
    </row>
    <row r="33" spans="1:7" x14ac:dyDescent="0.15">
      <c r="A33" s="119" t="s">
        <v>172</v>
      </c>
      <c r="B33" s="127">
        <v>63369</v>
      </c>
      <c r="C33" s="127">
        <v>54299</v>
      </c>
      <c r="D33" s="127">
        <v>45779</v>
      </c>
      <c r="E33" s="127">
        <v>40146</v>
      </c>
      <c r="F33" s="127">
        <v>85712</v>
      </c>
      <c r="G33" s="127">
        <v>76560</v>
      </c>
    </row>
    <row r="34" spans="1:7" x14ac:dyDescent="0.15">
      <c r="A34" s="119" t="s">
        <v>173</v>
      </c>
      <c r="B34" s="127">
        <v>35137</v>
      </c>
      <c r="C34" s="127">
        <v>32860</v>
      </c>
      <c r="D34" s="127">
        <v>31516</v>
      </c>
      <c r="E34" s="127">
        <v>28501</v>
      </c>
      <c r="F34" s="127">
        <v>85537</v>
      </c>
      <c r="G34" s="127">
        <v>78952</v>
      </c>
    </row>
    <row r="35" spans="1:7" ht="12" x14ac:dyDescent="0.15">
      <c r="A35" s="119" t="s">
        <v>353</v>
      </c>
      <c r="B35" s="127">
        <v>1523</v>
      </c>
      <c r="C35" s="127">
        <v>1494</v>
      </c>
      <c r="D35" s="127">
        <v>1566</v>
      </c>
      <c r="E35" s="127">
        <v>1447</v>
      </c>
      <c r="F35" s="127">
        <v>2477</v>
      </c>
      <c r="G35" s="127" t="s">
        <v>48</v>
      </c>
    </row>
    <row r="36" spans="1:7" ht="12" x14ac:dyDescent="0.15">
      <c r="A36" s="119" t="s">
        <v>174</v>
      </c>
      <c r="B36" s="127">
        <v>13294</v>
      </c>
      <c r="C36" s="127">
        <v>12633</v>
      </c>
      <c r="D36" s="127">
        <v>13513</v>
      </c>
      <c r="E36" s="127">
        <v>12902</v>
      </c>
      <c r="F36" s="127">
        <v>21978</v>
      </c>
      <c r="G36" s="127" t="s">
        <v>48</v>
      </c>
    </row>
    <row r="37" spans="1:7" ht="12" x14ac:dyDescent="0.15">
      <c r="A37" s="119" t="s">
        <v>175</v>
      </c>
      <c r="B37" s="127" t="s">
        <v>48</v>
      </c>
      <c r="C37" s="127" t="s">
        <v>48</v>
      </c>
      <c r="D37" s="127" t="s">
        <v>48</v>
      </c>
      <c r="E37" s="127" t="s">
        <v>48</v>
      </c>
      <c r="F37" s="127" t="s">
        <v>48</v>
      </c>
      <c r="G37" s="127" t="s">
        <v>48</v>
      </c>
    </row>
    <row r="38" spans="1:7" x14ac:dyDescent="0.15">
      <c r="A38" s="118" t="s">
        <v>176</v>
      </c>
      <c r="B38" s="132">
        <v>2357925</v>
      </c>
      <c r="C38" s="132">
        <v>2278386</v>
      </c>
      <c r="D38" s="132">
        <v>2396785</v>
      </c>
      <c r="E38" s="132">
        <v>2592914</v>
      </c>
      <c r="F38" s="132">
        <v>2788351</v>
      </c>
      <c r="G38" s="132">
        <v>2698325</v>
      </c>
    </row>
    <row r="39" spans="1:7" x14ac:dyDescent="0.15">
      <c r="A39" s="119"/>
      <c r="B39" s="119"/>
      <c r="C39" s="119"/>
      <c r="D39" s="119"/>
      <c r="E39" s="119"/>
      <c r="F39" s="119"/>
      <c r="G39" s="119"/>
    </row>
    <row r="40" spans="1:7" x14ac:dyDescent="0.15">
      <c r="A40" s="118" t="s">
        <v>177</v>
      </c>
      <c r="B40" s="119"/>
      <c r="C40" s="119"/>
      <c r="D40" s="119"/>
      <c r="E40" s="119"/>
      <c r="F40" s="119"/>
      <c r="G40" s="119"/>
    </row>
    <row r="41" spans="1:7" x14ac:dyDescent="0.15">
      <c r="A41" s="119" t="s">
        <v>178</v>
      </c>
      <c r="B41" s="127">
        <v>220173</v>
      </c>
      <c r="C41" s="127">
        <v>213143</v>
      </c>
      <c r="D41" s="127">
        <v>229192</v>
      </c>
      <c r="E41" s="127">
        <v>245550</v>
      </c>
      <c r="F41" s="127">
        <v>240554</v>
      </c>
      <c r="G41" s="127">
        <v>218763</v>
      </c>
    </row>
    <row r="42" spans="1:7" ht="12" x14ac:dyDescent="0.15">
      <c r="A42" s="119" t="s">
        <v>179</v>
      </c>
      <c r="B42" s="127">
        <v>18762</v>
      </c>
      <c r="C42" s="127">
        <v>19987</v>
      </c>
      <c r="D42" s="127">
        <v>20594</v>
      </c>
      <c r="E42" s="127">
        <v>21757</v>
      </c>
      <c r="F42" s="127">
        <v>22208</v>
      </c>
      <c r="G42" s="127" t="s">
        <v>48</v>
      </c>
    </row>
    <row r="43" spans="1:7" x14ac:dyDescent="0.15">
      <c r="A43" s="119" t="s">
        <v>180</v>
      </c>
      <c r="B43" s="127">
        <v>142346</v>
      </c>
      <c r="C43" s="127">
        <v>141960</v>
      </c>
      <c r="D43" s="127">
        <v>151014</v>
      </c>
      <c r="E43" s="127">
        <v>181936</v>
      </c>
      <c r="F43" s="127">
        <v>175567</v>
      </c>
      <c r="G43" s="127">
        <v>131519</v>
      </c>
    </row>
    <row r="44" spans="1:7" x14ac:dyDescent="0.15">
      <c r="A44" s="119" t="s">
        <v>181</v>
      </c>
      <c r="B44" s="127">
        <v>57328</v>
      </c>
      <c r="C44" s="127">
        <v>48497</v>
      </c>
      <c r="D44" s="127">
        <v>110234</v>
      </c>
      <c r="E44" s="127">
        <v>62974</v>
      </c>
      <c r="F44" s="127">
        <v>94094</v>
      </c>
      <c r="G44" s="127">
        <v>91313</v>
      </c>
    </row>
    <row r="45" spans="1:7" x14ac:dyDescent="0.15">
      <c r="A45" s="119" t="s">
        <v>354</v>
      </c>
      <c r="B45" s="127">
        <v>13027</v>
      </c>
      <c r="C45" s="127">
        <v>15815</v>
      </c>
      <c r="D45" s="127">
        <v>18560</v>
      </c>
      <c r="E45" s="127">
        <v>13966</v>
      </c>
      <c r="F45" s="127">
        <v>13578</v>
      </c>
      <c r="G45" s="127">
        <v>14700</v>
      </c>
    </row>
    <row r="46" spans="1:7" x14ac:dyDescent="0.15">
      <c r="A46" s="119" t="s">
        <v>183</v>
      </c>
      <c r="B46" s="127">
        <v>149217</v>
      </c>
      <c r="C46" s="127">
        <v>131946</v>
      </c>
      <c r="D46" s="127">
        <v>140382</v>
      </c>
      <c r="E46" s="127">
        <v>150343</v>
      </c>
      <c r="F46" s="127">
        <v>150492</v>
      </c>
      <c r="G46" s="127">
        <v>159483</v>
      </c>
    </row>
    <row r="47" spans="1:7" x14ac:dyDescent="0.15">
      <c r="A47" s="118" t="s">
        <v>184</v>
      </c>
      <c r="B47" s="131">
        <v>600853</v>
      </c>
      <c r="C47" s="131">
        <v>571348</v>
      </c>
      <c r="D47" s="131">
        <v>669976</v>
      </c>
      <c r="E47" s="131">
        <v>676526</v>
      </c>
      <c r="F47" s="131">
        <v>696493</v>
      </c>
      <c r="G47" s="131">
        <v>615778</v>
      </c>
    </row>
    <row r="48" spans="1:7" x14ac:dyDescent="0.15">
      <c r="A48" s="119"/>
      <c r="B48" s="119"/>
      <c r="C48" s="119"/>
      <c r="D48" s="119"/>
      <c r="E48" s="119"/>
      <c r="F48" s="119"/>
      <c r="G48" s="119"/>
    </row>
    <row r="49" spans="1:7" x14ac:dyDescent="0.15">
      <c r="A49" s="119" t="s">
        <v>185</v>
      </c>
      <c r="B49" s="127">
        <v>490717</v>
      </c>
      <c r="C49" s="127">
        <v>510349</v>
      </c>
      <c r="D49" s="127">
        <v>450757</v>
      </c>
      <c r="E49" s="127">
        <v>567657</v>
      </c>
      <c r="F49" s="127">
        <v>702761</v>
      </c>
      <c r="G49" s="127">
        <v>700599</v>
      </c>
    </row>
    <row r="50" spans="1:7" x14ac:dyDescent="0.15">
      <c r="A50" s="119" t="s">
        <v>187</v>
      </c>
      <c r="B50" s="127">
        <v>107585</v>
      </c>
      <c r="C50" s="127">
        <v>106130</v>
      </c>
      <c r="D50" s="127">
        <v>104712</v>
      </c>
      <c r="E50" s="127">
        <v>103006</v>
      </c>
      <c r="F50" s="127">
        <v>102067</v>
      </c>
      <c r="G50" s="127">
        <v>101959</v>
      </c>
    </row>
    <row r="51" spans="1:7" ht="12" x14ac:dyDescent="0.15">
      <c r="A51" s="119" t="s">
        <v>188</v>
      </c>
      <c r="B51" s="127">
        <v>43669</v>
      </c>
      <c r="C51" s="127">
        <v>34632</v>
      </c>
      <c r="D51" s="127">
        <v>43320</v>
      </c>
      <c r="E51" s="127">
        <v>48361</v>
      </c>
      <c r="F51" s="127">
        <v>48758</v>
      </c>
      <c r="G51" s="127" t="s">
        <v>48</v>
      </c>
    </row>
    <row r="52" spans="1:7" x14ac:dyDescent="0.15">
      <c r="A52" s="119" t="s">
        <v>189</v>
      </c>
      <c r="B52" s="127">
        <v>34344</v>
      </c>
      <c r="C52" s="127">
        <v>31018</v>
      </c>
      <c r="D52" s="127">
        <v>27844</v>
      </c>
      <c r="E52" s="127">
        <v>28176</v>
      </c>
      <c r="F52" s="127">
        <v>24328</v>
      </c>
      <c r="G52" s="127">
        <v>80484</v>
      </c>
    </row>
    <row r="53" spans="1:7" x14ac:dyDescent="0.15">
      <c r="A53" s="118" t="s">
        <v>190</v>
      </c>
      <c r="B53" s="131">
        <v>1277168</v>
      </c>
      <c r="C53" s="131">
        <v>1253477</v>
      </c>
      <c r="D53" s="131">
        <v>1296609</v>
      </c>
      <c r="E53" s="131">
        <v>1423726</v>
      </c>
      <c r="F53" s="131">
        <v>1574407</v>
      </c>
      <c r="G53" s="131">
        <v>1498820</v>
      </c>
    </row>
    <row r="54" spans="1:7" x14ac:dyDescent="0.15">
      <c r="A54" s="119"/>
      <c r="B54" s="119"/>
      <c r="C54" s="119"/>
      <c r="D54" s="119"/>
      <c r="E54" s="119"/>
      <c r="F54" s="119"/>
      <c r="G54" s="119"/>
    </row>
    <row r="55" spans="1:7" x14ac:dyDescent="0.15">
      <c r="A55" s="119" t="s">
        <v>191</v>
      </c>
      <c r="B55" s="127">
        <v>147873</v>
      </c>
      <c r="C55" s="127">
        <v>147873</v>
      </c>
      <c r="D55" s="127">
        <v>147873</v>
      </c>
      <c r="E55" s="127">
        <v>147873</v>
      </c>
      <c r="F55" s="127">
        <v>147873</v>
      </c>
      <c r="G55" s="127">
        <v>147873</v>
      </c>
    </row>
    <row r="56" spans="1:7" x14ac:dyDescent="0.15">
      <c r="A56" s="119" t="s">
        <v>192</v>
      </c>
      <c r="B56" s="127">
        <v>136727</v>
      </c>
      <c r="C56" s="127">
        <v>119180</v>
      </c>
      <c r="D56" s="127">
        <v>121091</v>
      </c>
      <c r="E56" s="127">
        <v>117572</v>
      </c>
      <c r="F56" s="127">
        <v>117760</v>
      </c>
      <c r="G56" s="127">
        <v>118067</v>
      </c>
    </row>
    <row r="57" spans="1:7" x14ac:dyDescent="0.15">
      <c r="A57" s="119" t="s">
        <v>193</v>
      </c>
      <c r="B57" s="127">
        <v>544557</v>
      </c>
      <c r="C57" s="127">
        <v>614334</v>
      </c>
      <c r="D57" s="127">
        <v>691290</v>
      </c>
      <c r="E57" s="127">
        <v>763504</v>
      </c>
      <c r="F57" s="127">
        <v>817263</v>
      </c>
      <c r="G57" s="127">
        <v>852009</v>
      </c>
    </row>
    <row r="58" spans="1:7" x14ac:dyDescent="0.15">
      <c r="A58" s="119" t="s">
        <v>194</v>
      </c>
      <c r="B58" s="127">
        <v>-21345</v>
      </c>
      <c r="C58" s="127">
        <v>-21163</v>
      </c>
      <c r="D58" s="127">
        <v>-20822</v>
      </c>
      <c r="E58" s="127">
        <v>-20631</v>
      </c>
      <c r="F58" s="127">
        <v>-20358</v>
      </c>
      <c r="G58" s="127">
        <v>-20307</v>
      </c>
    </row>
    <row r="59" spans="1:7" x14ac:dyDescent="0.15">
      <c r="A59" s="119" t="s">
        <v>195</v>
      </c>
      <c r="B59" s="127">
        <v>179063</v>
      </c>
      <c r="C59" s="127">
        <v>86525</v>
      </c>
      <c r="D59" s="127">
        <v>83045</v>
      </c>
      <c r="E59" s="127">
        <v>83711</v>
      </c>
      <c r="F59" s="127">
        <v>69833</v>
      </c>
      <c r="G59" s="127">
        <v>20529</v>
      </c>
    </row>
    <row r="60" spans="1:7" x14ac:dyDescent="0.15">
      <c r="A60" s="118" t="s">
        <v>196</v>
      </c>
      <c r="B60" s="131">
        <v>986875</v>
      </c>
      <c r="C60" s="131">
        <v>946749</v>
      </c>
      <c r="D60" s="131">
        <v>1022477</v>
      </c>
      <c r="E60" s="131">
        <v>1092029</v>
      </c>
      <c r="F60" s="131">
        <v>1132371</v>
      </c>
      <c r="G60" s="131">
        <v>1118171</v>
      </c>
    </row>
    <row r="61" spans="1:7" x14ac:dyDescent="0.15">
      <c r="A61" s="119"/>
      <c r="B61" s="119"/>
      <c r="C61" s="119"/>
      <c r="D61" s="119"/>
      <c r="E61" s="119"/>
      <c r="F61" s="119"/>
      <c r="G61" s="119"/>
    </row>
    <row r="62" spans="1:7" x14ac:dyDescent="0.15">
      <c r="A62" s="119" t="s">
        <v>355</v>
      </c>
      <c r="B62" s="127">
        <v>93882</v>
      </c>
      <c r="C62" s="127">
        <v>78160</v>
      </c>
      <c r="D62" s="127">
        <v>77699</v>
      </c>
      <c r="E62" s="127">
        <v>77159</v>
      </c>
      <c r="F62" s="127">
        <v>81573</v>
      </c>
      <c r="G62" s="127">
        <v>81334</v>
      </c>
    </row>
    <row r="63" spans="1:7" x14ac:dyDescent="0.15">
      <c r="A63" s="119"/>
      <c r="B63" s="119"/>
      <c r="C63" s="119"/>
      <c r="D63" s="119"/>
      <c r="E63" s="119"/>
      <c r="F63" s="119"/>
      <c r="G63" s="119"/>
    </row>
    <row r="64" spans="1:7" x14ac:dyDescent="0.15">
      <c r="A64" s="118" t="s">
        <v>197</v>
      </c>
      <c r="B64" s="138">
        <v>1080757</v>
      </c>
      <c r="C64" s="138">
        <v>1024909</v>
      </c>
      <c r="D64" s="138">
        <v>1100176</v>
      </c>
      <c r="E64" s="138">
        <v>1169188</v>
      </c>
      <c r="F64" s="138">
        <v>1213944</v>
      </c>
      <c r="G64" s="138">
        <v>1199505</v>
      </c>
    </row>
    <row r="65" spans="1:7" x14ac:dyDescent="0.15">
      <c r="A65" s="119"/>
      <c r="B65" s="119"/>
      <c r="C65" s="119"/>
      <c r="D65" s="119"/>
      <c r="E65" s="119"/>
      <c r="F65" s="119"/>
      <c r="G65" s="119"/>
    </row>
    <row r="66" spans="1:7" x14ac:dyDescent="0.15">
      <c r="A66" s="118" t="s">
        <v>198</v>
      </c>
      <c r="B66" s="139">
        <v>2357925</v>
      </c>
      <c r="C66" s="139">
        <v>2278386</v>
      </c>
      <c r="D66" s="139">
        <v>2396785</v>
      </c>
      <c r="E66" s="139">
        <v>2592914</v>
      </c>
      <c r="F66" s="139">
        <v>2788351</v>
      </c>
      <c r="G66" s="139">
        <v>2698325</v>
      </c>
    </row>
    <row r="67" spans="1:7" x14ac:dyDescent="0.15">
      <c r="A67" s="119"/>
      <c r="B67" s="119"/>
      <c r="C67" s="119"/>
      <c r="D67" s="119"/>
      <c r="E67" s="119"/>
      <c r="F67" s="119"/>
      <c r="G67" s="119"/>
    </row>
    <row r="68" spans="1:7" x14ac:dyDescent="0.15">
      <c r="A68" s="118" t="s">
        <v>127</v>
      </c>
      <c r="B68" s="119"/>
      <c r="C68" s="119"/>
      <c r="D68" s="119"/>
      <c r="E68" s="119"/>
      <c r="F68" s="119"/>
      <c r="G68" s="119"/>
    </row>
    <row r="69" spans="1:7" x14ac:dyDescent="0.15">
      <c r="A69" s="119" t="s">
        <v>199</v>
      </c>
      <c r="B69" s="127">
        <v>1598.2819999999999</v>
      </c>
      <c r="C69" s="127">
        <v>1598.604</v>
      </c>
      <c r="D69" s="127">
        <v>1599.1469999999999</v>
      </c>
      <c r="E69" s="127">
        <v>1599.4469999999999</v>
      </c>
      <c r="F69" s="127">
        <v>1599.871341</v>
      </c>
      <c r="G69" s="127">
        <v>1599.95</v>
      </c>
    </row>
    <row r="70" spans="1:7" x14ac:dyDescent="0.15">
      <c r="A70" s="119" t="s">
        <v>200</v>
      </c>
      <c r="B70" s="127">
        <v>1598.2819999999999</v>
      </c>
      <c r="C70" s="127">
        <v>1598.604</v>
      </c>
      <c r="D70" s="127">
        <v>1599.1469999999999</v>
      </c>
      <c r="E70" s="127">
        <v>1599.4469999999999</v>
      </c>
      <c r="F70" s="127">
        <v>1599.871341</v>
      </c>
      <c r="G70" s="127">
        <v>1599.95</v>
      </c>
    </row>
    <row r="71" spans="1:7" x14ac:dyDescent="0.15">
      <c r="A71" s="119" t="s">
        <v>201</v>
      </c>
      <c r="B71" s="126">
        <v>617.45987200000002</v>
      </c>
      <c r="C71" s="126">
        <v>592.23484900000005</v>
      </c>
      <c r="D71" s="126">
        <v>639.38899900000001</v>
      </c>
      <c r="E71" s="126">
        <v>682.75410099999999</v>
      </c>
      <c r="F71" s="126">
        <v>707.78878899999995</v>
      </c>
      <c r="G71" s="126">
        <v>698.87871399999995</v>
      </c>
    </row>
    <row r="72" spans="1:7" x14ac:dyDescent="0.15">
      <c r="A72" s="119" t="s">
        <v>202</v>
      </c>
      <c r="B72" s="127">
        <v>888369</v>
      </c>
      <c r="C72" s="127">
        <v>859590</v>
      </c>
      <c r="D72" s="127">
        <v>945182</v>
      </c>
      <c r="E72" s="127">
        <v>1023382</v>
      </c>
      <c r="F72" s="127">
        <v>961122</v>
      </c>
      <c r="G72" s="127">
        <v>962659</v>
      </c>
    </row>
    <row r="73" spans="1:7" x14ac:dyDescent="0.15">
      <c r="A73" s="119" t="s">
        <v>203</v>
      </c>
      <c r="B73" s="126">
        <v>555.82744400000001</v>
      </c>
      <c r="C73" s="126">
        <v>537.71290399999998</v>
      </c>
      <c r="D73" s="126">
        <v>591.053855</v>
      </c>
      <c r="E73" s="126">
        <v>639.83489199999997</v>
      </c>
      <c r="F73" s="126">
        <v>600.74955699999998</v>
      </c>
      <c r="G73" s="126">
        <v>601.68067699999995</v>
      </c>
    </row>
    <row r="74" spans="1:7" x14ac:dyDescent="0.15">
      <c r="A74" s="119" t="s">
        <v>204</v>
      </c>
      <c r="B74" s="127">
        <v>690391</v>
      </c>
      <c r="C74" s="127">
        <v>700806</v>
      </c>
      <c r="D74" s="127">
        <v>712005</v>
      </c>
      <c r="E74" s="127">
        <v>812567</v>
      </c>
      <c r="F74" s="127">
        <v>972422</v>
      </c>
      <c r="G74" s="127">
        <v>923431</v>
      </c>
    </row>
    <row r="75" spans="1:7" x14ac:dyDescent="0.15">
      <c r="A75" s="119" t="s">
        <v>205</v>
      </c>
      <c r="B75" s="127">
        <v>574198</v>
      </c>
      <c r="C75" s="127">
        <v>580638</v>
      </c>
      <c r="D75" s="127">
        <v>568894</v>
      </c>
      <c r="E75" s="127">
        <v>671466</v>
      </c>
      <c r="F75" s="127">
        <v>803915</v>
      </c>
      <c r="G75" s="127">
        <v>781418</v>
      </c>
    </row>
    <row r="76" spans="1:7" ht="12" x14ac:dyDescent="0.15">
      <c r="A76" s="119" t="s">
        <v>206</v>
      </c>
      <c r="B76" s="127">
        <v>70210</v>
      </c>
      <c r="C76" s="127">
        <v>72066</v>
      </c>
      <c r="D76" s="127">
        <v>75137</v>
      </c>
      <c r="E76" s="127">
        <v>72974</v>
      </c>
      <c r="F76" s="127">
        <v>76290</v>
      </c>
      <c r="G76" s="127" t="s">
        <v>125</v>
      </c>
    </row>
    <row r="77" spans="1:7" ht="12" x14ac:dyDescent="0.15">
      <c r="A77" s="119" t="s">
        <v>207</v>
      </c>
      <c r="B77" s="127">
        <v>85664</v>
      </c>
      <c r="C77" s="127">
        <v>91344</v>
      </c>
      <c r="D77" s="127">
        <v>91416</v>
      </c>
      <c r="E77" s="127">
        <v>94688</v>
      </c>
      <c r="F77" s="127">
        <v>98792</v>
      </c>
      <c r="G77" s="127" t="s">
        <v>125</v>
      </c>
    </row>
    <row r="78" spans="1:7" x14ac:dyDescent="0.15">
      <c r="A78" s="119" t="s">
        <v>356</v>
      </c>
      <c r="B78" s="127">
        <v>93882</v>
      </c>
      <c r="C78" s="127">
        <v>78160</v>
      </c>
      <c r="D78" s="127">
        <v>77699</v>
      </c>
      <c r="E78" s="127">
        <v>77159</v>
      </c>
      <c r="F78" s="127">
        <v>81573</v>
      </c>
      <c r="G78" s="127">
        <v>81334</v>
      </c>
    </row>
    <row r="79" spans="1:7" x14ac:dyDescent="0.15">
      <c r="A79" s="119" t="s">
        <v>212</v>
      </c>
      <c r="B79" s="127">
        <v>92260</v>
      </c>
      <c r="C79" s="127">
        <v>88843</v>
      </c>
      <c r="D79" s="127">
        <v>95559</v>
      </c>
      <c r="E79" s="127">
        <v>98659</v>
      </c>
      <c r="F79" s="127">
        <v>105167</v>
      </c>
      <c r="G79" s="127">
        <v>102935</v>
      </c>
    </row>
    <row r="80" spans="1:7" x14ac:dyDescent="0.15">
      <c r="A80" s="119" t="s">
        <v>213</v>
      </c>
      <c r="B80" s="127">
        <v>78606</v>
      </c>
      <c r="C80" s="127">
        <v>75992</v>
      </c>
      <c r="D80" s="127">
        <v>78646</v>
      </c>
      <c r="E80" s="127">
        <v>92501</v>
      </c>
      <c r="F80" s="127">
        <v>85880</v>
      </c>
      <c r="G80" s="127">
        <v>89388</v>
      </c>
    </row>
    <row r="81" spans="1:7" x14ac:dyDescent="0.15">
      <c r="A81" s="119" t="s">
        <v>214</v>
      </c>
      <c r="B81" s="127">
        <v>220763</v>
      </c>
      <c r="C81" s="127">
        <v>229199</v>
      </c>
      <c r="D81" s="127">
        <v>235127</v>
      </c>
      <c r="E81" s="127">
        <v>248513</v>
      </c>
      <c r="F81" s="127">
        <v>228480</v>
      </c>
      <c r="G81" s="127">
        <v>220337</v>
      </c>
    </row>
    <row r="82" spans="1:7" ht="12" x14ac:dyDescent="0.15">
      <c r="A82" s="119" t="s">
        <v>219</v>
      </c>
      <c r="B82" s="140">
        <v>45789</v>
      </c>
      <c r="C82" s="140">
        <v>45839</v>
      </c>
      <c r="D82" s="140">
        <v>46248</v>
      </c>
      <c r="E82" s="140">
        <v>45762</v>
      </c>
      <c r="F82" s="140">
        <v>48320</v>
      </c>
      <c r="G82" s="140" t="s">
        <v>125</v>
      </c>
    </row>
    <row r="83" spans="1:7" x14ac:dyDescent="0.15">
      <c r="A83" s="119" t="s">
        <v>221</v>
      </c>
      <c r="B83" s="127">
        <v>1702</v>
      </c>
      <c r="C83" s="127">
        <v>1791</v>
      </c>
      <c r="D83" s="127">
        <v>2205</v>
      </c>
      <c r="E83" s="127">
        <v>2037</v>
      </c>
      <c r="F83" s="127">
        <v>2280</v>
      </c>
      <c r="G83" s="127">
        <v>2211</v>
      </c>
    </row>
    <row r="84" spans="1:7" x14ac:dyDescent="0.15">
      <c r="A84" s="119" t="s">
        <v>140</v>
      </c>
      <c r="B84" s="135">
        <v>42179</v>
      </c>
      <c r="C84" s="135">
        <v>42549</v>
      </c>
      <c r="D84" s="135">
        <v>42913</v>
      </c>
      <c r="E84" s="135">
        <v>43277</v>
      </c>
      <c r="F84" s="135">
        <v>43641</v>
      </c>
      <c r="G84" s="135">
        <v>43777</v>
      </c>
    </row>
    <row r="85" spans="1:7" ht="12" x14ac:dyDescent="0.15">
      <c r="A85" s="119" t="s">
        <v>141</v>
      </c>
      <c r="B85" s="124" t="s">
        <v>143</v>
      </c>
      <c r="C85" s="124" t="s">
        <v>143</v>
      </c>
      <c r="D85" s="124" t="s">
        <v>143</v>
      </c>
      <c r="E85" s="124" t="s">
        <v>143</v>
      </c>
      <c r="F85" s="124" t="s">
        <v>143</v>
      </c>
      <c r="G85" s="124" t="s">
        <v>143</v>
      </c>
    </row>
    <row r="86" spans="1:7" ht="12" x14ac:dyDescent="0.15">
      <c r="A86" s="119" t="s">
        <v>144</v>
      </c>
      <c r="B86" s="124" t="s">
        <v>145</v>
      </c>
      <c r="C86" s="124" t="s">
        <v>145</v>
      </c>
      <c r="D86" s="124" t="s">
        <v>145</v>
      </c>
      <c r="E86" s="124" t="s">
        <v>145</v>
      </c>
      <c r="F86" s="124" t="s">
        <v>145</v>
      </c>
      <c r="G86" s="124" t="s">
        <v>145</v>
      </c>
    </row>
    <row r="87" spans="1:7" x14ac:dyDescent="0.15">
      <c r="A87" s="119"/>
      <c r="B87" s="119"/>
      <c r="C87" s="119"/>
      <c r="D87" s="119"/>
      <c r="E87" s="119"/>
      <c r="F87" s="119"/>
      <c r="G87" s="119"/>
    </row>
    <row r="88" spans="1:7" ht="12" x14ac:dyDescent="0.15">
      <c r="A88" s="119" t="s">
        <v>335</v>
      </c>
      <c r="B88" s="124" t="s">
        <v>336</v>
      </c>
      <c r="C88" s="124" t="s">
        <v>336</v>
      </c>
      <c r="D88" s="124" t="s">
        <v>336</v>
      </c>
      <c r="E88" s="124" t="s">
        <v>336</v>
      </c>
      <c r="F88" s="124" t="s">
        <v>336</v>
      </c>
      <c r="G88" s="124" t="s">
        <v>337</v>
      </c>
    </row>
    <row r="89" spans="1:7" x14ac:dyDescent="0.15">
      <c r="A89" s="125"/>
      <c r="B89" s="125"/>
      <c r="C89" s="125"/>
      <c r="D89" s="125"/>
      <c r="E89" s="125"/>
      <c r="F89" s="125"/>
      <c r="G89" s="125"/>
    </row>
    <row r="90" spans="1:7" x14ac:dyDescent="0.15">
      <c r="A90" s="136" t="s">
        <v>223</v>
      </c>
    </row>
    <row r="91" spans="1:7" x14ac:dyDescent="0.15">
      <c r="A91" s="130" t="s">
        <v>66</v>
      </c>
    </row>
  </sheetData>
  <pageMargins left="0.2" right="0.2" top="0.5" bottom="0.5" header="0.5" footer="0.5"/>
  <pageSetup fitToWidth="0" fitToHeight="0" orientation="landscape" horizontalDpi="0" verticalDpi="0"/>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72CC0-D2CF-4273-A0EA-E5601051045C}">
  <sheetPr>
    <outlinePr summaryBelow="0" summaryRight="0"/>
    <pageSetUpPr autoPageBreaks="0"/>
  </sheetPr>
  <dimension ref="A5:IU74"/>
  <sheetViews>
    <sheetView workbookViewId="0"/>
  </sheetViews>
  <sheetFormatPr baseColWidth="10" defaultColWidth="8.75" defaultRowHeight="11" x14ac:dyDescent="0.15"/>
  <cols>
    <col min="1" max="1" width="53.5" style="106" customWidth="1"/>
    <col min="2" max="7" width="17.25" style="106" customWidth="1"/>
    <col min="8" max="256" width="9.25" style="106"/>
    <col min="257" max="257" width="53.5" style="106" customWidth="1"/>
    <col min="258" max="263" width="17.25" style="106" customWidth="1"/>
    <col min="264" max="512" width="9.25" style="106"/>
    <col min="513" max="513" width="53.5" style="106" customWidth="1"/>
    <col min="514" max="519" width="17.25" style="106" customWidth="1"/>
    <col min="520" max="768" width="9.25" style="106"/>
    <col min="769" max="769" width="53.5" style="106" customWidth="1"/>
    <col min="770" max="775" width="17.25" style="106" customWidth="1"/>
    <col min="776" max="1024" width="9.25" style="106"/>
    <col min="1025" max="1025" width="53.5" style="106" customWidth="1"/>
    <col min="1026" max="1031" width="17.25" style="106" customWidth="1"/>
    <col min="1032" max="1280" width="9.25" style="106"/>
    <col min="1281" max="1281" width="53.5" style="106" customWidth="1"/>
    <col min="1282" max="1287" width="17.25" style="106" customWidth="1"/>
    <col min="1288" max="1536" width="9.25" style="106"/>
    <col min="1537" max="1537" width="53.5" style="106" customWidth="1"/>
    <col min="1538" max="1543" width="17.25" style="106" customWidth="1"/>
    <col min="1544" max="1792" width="9.25" style="106"/>
    <col min="1793" max="1793" width="53.5" style="106" customWidth="1"/>
    <col min="1794" max="1799" width="17.25" style="106" customWidth="1"/>
    <col min="1800" max="2048" width="9.25" style="106"/>
    <col min="2049" max="2049" width="53.5" style="106" customWidth="1"/>
    <col min="2050" max="2055" width="17.25" style="106" customWidth="1"/>
    <col min="2056" max="2304" width="9.25" style="106"/>
    <col min="2305" max="2305" width="53.5" style="106" customWidth="1"/>
    <col min="2306" max="2311" width="17.25" style="106" customWidth="1"/>
    <col min="2312" max="2560" width="9.25" style="106"/>
    <col min="2561" max="2561" width="53.5" style="106" customWidth="1"/>
    <col min="2562" max="2567" width="17.25" style="106" customWidth="1"/>
    <col min="2568" max="2816" width="9.25" style="106"/>
    <col min="2817" max="2817" width="53.5" style="106" customWidth="1"/>
    <col min="2818" max="2823" width="17.25" style="106" customWidth="1"/>
    <col min="2824" max="3072" width="9.25" style="106"/>
    <col min="3073" max="3073" width="53.5" style="106" customWidth="1"/>
    <col min="3074" max="3079" width="17.25" style="106" customWidth="1"/>
    <col min="3080" max="3328" width="9.25" style="106"/>
    <col min="3329" max="3329" width="53.5" style="106" customWidth="1"/>
    <col min="3330" max="3335" width="17.25" style="106" customWidth="1"/>
    <col min="3336" max="3584" width="9.25" style="106"/>
    <col min="3585" max="3585" width="53.5" style="106" customWidth="1"/>
    <col min="3586" max="3591" width="17.25" style="106" customWidth="1"/>
    <col min="3592" max="3840" width="9.25" style="106"/>
    <col min="3841" max="3841" width="53.5" style="106" customWidth="1"/>
    <col min="3842" max="3847" width="17.25" style="106" customWidth="1"/>
    <col min="3848" max="4096" width="9.25" style="106"/>
    <col min="4097" max="4097" width="53.5" style="106" customWidth="1"/>
    <col min="4098" max="4103" width="17.25" style="106" customWidth="1"/>
    <col min="4104" max="4352" width="9.25" style="106"/>
    <col min="4353" max="4353" width="53.5" style="106" customWidth="1"/>
    <col min="4354" max="4359" width="17.25" style="106" customWidth="1"/>
    <col min="4360" max="4608" width="9.25" style="106"/>
    <col min="4609" max="4609" width="53.5" style="106" customWidth="1"/>
    <col min="4610" max="4615" width="17.25" style="106" customWidth="1"/>
    <col min="4616" max="4864" width="9.25" style="106"/>
    <col min="4865" max="4865" width="53.5" style="106" customWidth="1"/>
    <col min="4866" max="4871" width="17.25" style="106" customWidth="1"/>
    <col min="4872" max="5120" width="9.25" style="106"/>
    <col min="5121" max="5121" width="53.5" style="106" customWidth="1"/>
    <col min="5122" max="5127" width="17.25" style="106" customWidth="1"/>
    <col min="5128" max="5376" width="9.25" style="106"/>
    <col min="5377" max="5377" width="53.5" style="106" customWidth="1"/>
    <col min="5378" max="5383" width="17.25" style="106" customWidth="1"/>
    <col min="5384" max="5632" width="9.25" style="106"/>
    <col min="5633" max="5633" width="53.5" style="106" customWidth="1"/>
    <col min="5634" max="5639" width="17.25" style="106" customWidth="1"/>
    <col min="5640" max="5888" width="9.25" style="106"/>
    <col min="5889" max="5889" width="53.5" style="106" customWidth="1"/>
    <col min="5890" max="5895" width="17.25" style="106" customWidth="1"/>
    <col min="5896" max="6144" width="9.25" style="106"/>
    <col min="6145" max="6145" width="53.5" style="106" customWidth="1"/>
    <col min="6146" max="6151" width="17.25" style="106" customWidth="1"/>
    <col min="6152" max="6400" width="9.25" style="106"/>
    <col min="6401" max="6401" width="53.5" style="106" customWidth="1"/>
    <col min="6402" max="6407" width="17.25" style="106" customWidth="1"/>
    <col min="6408" max="6656" width="9.25" style="106"/>
    <col min="6657" max="6657" width="53.5" style="106" customWidth="1"/>
    <col min="6658" max="6663" width="17.25" style="106" customWidth="1"/>
    <col min="6664" max="6912" width="9.25" style="106"/>
    <col min="6913" max="6913" width="53.5" style="106" customWidth="1"/>
    <col min="6914" max="6919" width="17.25" style="106" customWidth="1"/>
    <col min="6920" max="7168" width="9.25" style="106"/>
    <col min="7169" max="7169" width="53.5" style="106" customWidth="1"/>
    <col min="7170" max="7175" width="17.25" style="106" customWidth="1"/>
    <col min="7176" max="7424" width="9.25" style="106"/>
    <col min="7425" max="7425" width="53.5" style="106" customWidth="1"/>
    <col min="7426" max="7431" width="17.25" style="106" customWidth="1"/>
    <col min="7432" max="7680" width="9.25" style="106"/>
    <col min="7681" max="7681" width="53.5" style="106" customWidth="1"/>
    <col min="7682" max="7687" width="17.25" style="106" customWidth="1"/>
    <col min="7688" max="7936" width="9.25" style="106"/>
    <col min="7937" max="7937" width="53.5" style="106" customWidth="1"/>
    <col min="7938" max="7943" width="17.25" style="106" customWidth="1"/>
    <col min="7944" max="8192" width="9.25" style="106"/>
    <col min="8193" max="8193" width="53.5" style="106" customWidth="1"/>
    <col min="8194" max="8199" width="17.25" style="106" customWidth="1"/>
    <col min="8200" max="8448" width="9.25" style="106"/>
    <col min="8449" max="8449" width="53.5" style="106" customWidth="1"/>
    <col min="8450" max="8455" width="17.25" style="106" customWidth="1"/>
    <col min="8456" max="8704" width="9.25" style="106"/>
    <col min="8705" max="8705" width="53.5" style="106" customWidth="1"/>
    <col min="8706" max="8711" width="17.25" style="106" customWidth="1"/>
    <col min="8712" max="8960" width="9.25" style="106"/>
    <col min="8961" max="8961" width="53.5" style="106" customWidth="1"/>
    <col min="8962" max="8967" width="17.25" style="106" customWidth="1"/>
    <col min="8968" max="9216" width="9.25" style="106"/>
    <col min="9217" max="9217" width="53.5" style="106" customWidth="1"/>
    <col min="9218" max="9223" width="17.25" style="106" customWidth="1"/>
    <col min="9224" max="9472" width="9.25" style="106"/>
    <col min="9473" max="9473" width="53.5" style="106" customWidth="1"/>
    <col min="9474" max="9479" width="17.25" style="106" customWidth="1"/>
    <col min="9480" max="9728" width="9.25" style="106"/>
    <col min="9729" max="9729" width="53.5" style="106" customWidth="1"/>
    <col min="9730" max="9735" width="17.25" style="106" customWidth="1"/>
    <col min="9736" max="9984" width="9.25" style="106"/>
    <col min="9985" max="9985" width="53.5" style="106" customWidth="1"/>
    <col min="9986" max="9991" width="17.25" style="106" customWidth="1"/>
    <col min="9992" max="10240" width="9.25" style="106"/>
    <col min="10241" max="10241" width="53.5" style="106" customWidth="1"/>
    <col min="10242" max="10247" width="17.25" style="106" customWidth="1"/>
    <col min="10248" max="10496" width="9.25" style="106"/>
    <col min="10497" max="10497" width="53.5" style="106" customWidth="1"/>
    <col min="10498" max="10503" width="17.25" style="106" customWidth="1"/>
    <col min="10504" max="10752" width="9.25" style="106"/>
    <col min="10753" max="10753" width="53.5" style="106" customWidth="1"/>
    <col min="10754" max="10759" width="17.25" style="106" customWidth="1"/>
    <col min="10760" max="11008" width="9.25" style="106"/>
    <col min="11009" max="11009" width="53.5" style="106" customWidth="1"/>
    <col min="11010" max="11015" width="17.25" style="106" customWidth="1"/>
    <col min="11016" max="11264" width="9.25" style="106"/>
    <col min="11265" max="11265" width="53.5" style="106" customWidth="1"/>
    <col min="11266" max="11271" width="17.25" style="106" customWidth="1"/>
    <col min="11272" max="11520" width="9.25" style="106"/>
    <col min="11521" max="11521" width="53.5" style="106" customWidth="1"/>
    <col min="11522" max="11527" width="17.25" style="106" customWidth="1"/>
    <col min="11528" max="11776" width="9.25" style="106"/>
    <col min="11777" max="11777" width="53.5" style="106" customWidth="1"/>
    <col min="11778" max="11783" width="17.25" style="106" customWidth="1"/>
    <col min="11784" max="12032" width="9.25" style="106"/>
    <col min="12033" max="12033" width="53.5" style="106" customWidth="1"/>
    <col min="12034" max="12039" width="17.25" style="106" customWidth="1"/>
    <col min="12040" max="12288" width="9.25" style="106"/>
    <col min="12289" max="12289" width="53.5" style="106" customWidth="1"/>
    <col min="12290" max="12295" width="17.25" style="106" customWidth="1"/>
    <col min="12296" max="12544" width="9.25" style="106"/>
    <col min="12545" max="12545" width="53.5" style="106" customWidth="1"/>
    <col min="12546" max="12551" width="17.25" style="106" customWidth="1"/>
    <col min="12552" max="12800" width="9.25" style="106"/>
    <col min="12801" max="12801" width="53.5" style="106" customWidth="1"/>
    <col min="12802" max="12807" width="17.25" style="106" customWidth="1"/>
    <col min="12808" max="13056" width="9.25" style="106"/>
    <col min="13057" max="13057" width="53.5" style="106" customWidth="1"/>
    <col min="13058" max="13063" width="17.25" style="106" customWidth="1"/>
    <col min="13064" max="13312" width="9.25" style="106"/>
    <col min="13313" max="13313" width="53.5" style="106" customWidth="1"/>
    <col min="13314" max="13319" width="17.25" style="106" customWidth="1"/>
    <col min="13320" max="13568" width="9.25" style="106"/>
    <col min="13569" max="13569" width="53.5" style="106" customWidth="1"/>
    <col min="13570" max="13575" width="17.25" style="106" customWidth="1"/>
    <col min="13576" max="13824" width="9.25" style="106"/>
    <col min="13825" max="13825" width="53.5" style="106" customWidth="1"/>
    <col min="13826" max="13831" width="17.25" style="106" customWidth="1"/>
    <col min="13832" max="14080" width="9.25" style="106"/>
    <col min="14081" max="14081" width="53.5" style="106" customWidth="1"/>
    <col min="14082" max="14087" width="17.25" style="106" customWidth="1"/>
    <col min="14088" max="14336" width="9.25" style="106"/>
    <col min="14337" max="14337" width="53.5" style="106" customWidth="1"/>
    <col min="14338" max="14343" width="17.25" style="106" customWidth="1"/>
    <col min="14344" max="14592" width="9.25" style="106"/>
    <col min="14593" max="14593" width="53.5" style="106" customWidth="1"/>
    <col min="14594" max="14599" width="17.25" style="106" customWidth="1"/>
    <col min="14600" max="14848" width="9.25" style="106"/>
    <col min="14849" max="14849" width="53.5" style="106" customWidth="1"/>
    <col min="14850" max="14855" width="17.25" style="106" customWidth="1"/>
    <col min="14856" max="15104" width="9.25" style="106"/>
    <col min="15105" max="15105" width="53.5" style="106" customWidth="1"/>
    <col min="15106" max="15111" width="17.25" style="106" customWidth="1"/>
    <col min="15112" max="15360" width="9.25" style="106"/>
    <col min="15361" max="15361" width="53.5" style="106" customWidth="1"/>
    <col min="15362" max="15367" width="17.25" style="106" customWidth="1"/>
    <col min="15368" max="15616" width="9.25" style="106"/>
    <col min="15617" max="15617" width="53.5" style="106" customWidth="1"/>
    <col min="15618" max="15623" width="17.25" style="106" customWidth="1"/>
    <col min="15624" max="15872" width="9.25" style="106"/>
    <col min="15873" max="15873" width="53.5" style="106" customWidth="1"/>
    <col min="15874" max="15879" width="17.25" style="106" customWidth="1"/>
    <col min="15880" max="16128" width="9.25" style="106"/>
    <col min="16129" max="16129" width="53.5" style="106" customWidth="1"/>
    <col min="16130" max="16135" width="17.25" style="106" customWidth="1"/>
    <col min="16136" max="16384" width="9.25" style="106"/>
  </cols>
  <sheetData>
    <row r="5" spans="1:255" ht="17" x14ac:dyDescent="0.2">
      <c r="A5" s="105" t="s">
        <v>357</v>
      </c>
    </row>
    <row r="7" spans="1:255" ht="12" x14ac:dyDescent="0.15">
      <c r="A7" s="107" t="s">
        <v>68</v>
      </c>
      <c r="B7" s="108" t="s">
        <v>69</v>
      </c>
      <c r="C7" s="106" t="s">
        <v>70</v>
      </c>
      <c r="D7" s="109" t="s">
        <v>4</v>
      </c>
      <c r="E7" s="108" t="s">
        <v>71</v>
      </c>
      <c r="F7" s="106" t="s">
        <v>72</v>
      </c>
    </row>
    <row r="8" spans="1:255" x14ac:dyDescent="0.15">
      <c r="A8" s="109"/>
      <c r="B8" s="108" t="s">
        <v>73</v>
      </c>
      <c r="C8" s="106" t="s">
        <v>74</v>
      </c>
      <c r="D8" s="109" t="s">
        <v>4</v>
      </c>
      <c r="E8" s="108" t="s">
        <v>7</v>
      </c>
      <c r="F8" s="106" t="s">
        <v>8</v>
      </c>
    </row>
    <row r="9" spans="1:255" x14ac:dyDescent="0.15">
      <c r="A9" s="109"/>
      <c r="B9" s="108" t="s">
        <v>2</v>
      </c>
      <c r="C9" s="106" t="s">
        <v>75</v>
      </c>
      <c r="D9" s="109" t="s">
        <v>4</v>
      </c>
      <c r="E9" s="108" t="s">
        <v>5</v>
      </c>
      <c r="F9" s="106" t="s">
        <v>327</v>
      </c>
    </row>
    <row r="10" spans="1:255" x14ac:dyDescent="0.15">
      <c r="A10" s="109"/>
      <c r="B10" s="108" t="s">
        <v>9</v>
      </c>
      <c r="C10" s="106" t="s">
        <v>10</v>
      </c>
      <c r="D10" s="109" t="s">
        <v>4</v>
      </c>
      <c r="E10" s="108" t="s">
        <v>11</v>
      </c>
      <c r="F10" s="110" t="s">
        <v>12</v>
      </c>
    </row>
    <row r="13" spans="1:255" x14ac:dyDescent="0.15">
      <c r="A13" s="112" t="s">
        <v>225</v>
      </c>
      <c r="B13" s="112"/>
      <c r="C13" s="112"/>
      <c r="D13" s="112"/>
      <c r="E13" s="112"/>
      <c r="F13" s="112"/>
      <c r="G13" s="112"/>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c r="DQ13" s="113"/>
      <c r="DR13" s="113"/>
      <c r="DS13" s="113"/>
      <c r="DT13" s="113"/>
      <c r="DU13" s="113"/>
      <c r="DV13" s="113"/>
      <c r="DW13" s="113"/>
      <c r="DX13" s="113"/>
      <c r="DY13" s="113"/>
      <c r="DZ13" s="113"/>
      <c r="EA13" s="113"/>
      <c r="EB13" s="113"/>
      <c r="EC13" s="113"/>
      <c r="ED13" s="113"/>
      <c r="EE13" s="113"/>
      <c r="EF13" s="113"/>
      <c r="EG13" s="113"/>
      <c r="EH13" s="113"/>
      <c r="EI13" s="113"/>
      <c r="EJ13" s="113"/>
      <c r="EK13" s="113"/>
      <c r="EL13" s="113"/>
      <c r="EM13" s="113"/>
      <c r="EN13" s="113"/>
      <c r="EO13" s="113"/>
      <c r="EP13" s="113"/>
      <c r="EQ13" s="113"/>
      <c r="ER13" s="113"/>
      <c r="ES13" s="113"/>
      <c r="ET13" s="113"/>
      <c r="EU13" s="113"/>
      <c r="EV13" s="113"/>
      <c r="EW13" s="113"/>
      <c r="EX13" s="113"/>
      <c r="EY13" s="113"/>
      <c r="EZ13" s="113"/>
      <c r="FA13" s="113"/>
      <c r="FB13" s="113"/>
      <c r="FC13" s="113"/>
      <c r="FD13" s="113"/>
      <c r="FE13" s="113"/>
      <c r="FF13" s="113"/>
      <c r="FG13" s="113"/>
      <c r="FH13" s="113"/>
      <c r="FI13" s="113"/>
      <c r="FJ13" s="113"/>
      <c r="FK13" s="113"/>
      <c r="FL13" s="113"/>
      <c r="FM13" s="113"/>
      <c r="FN13" s="113"/>
      <c r="FO13" s="113"/>
      <c r="FP13" s="113"/>
      <c r="FQ13" s="113"/>
      <c r="FR13" s="113"/>
      <c r="FS13" s="113"/>
      <c r="FT13" s="113"/>
      <c r="FU13" s="113"/>
      <c r="FV13" s="113"/>
      <c r="FW13" s="113"/>
      <c r="FX13" s="113"/>
      <c r="FY13" s="113"/>
      <c r="FZ13" s="113"/>
      <c r="GA13" s="113"/>
      <c r="GB13" s="113"/>
      <c r="GC13" s="113"/>
      <c r="GD13" s="113"/>
      <c r="GE13" s="113"/>
      <c r="GF13" s="113"/>
      <c r="GG13" s="113"/>
      <c r="GH13" s="113"/>
      <c r="GI13" s="113"/>
      <c r="GJ13" s="113"/>
      <c r="GK13" s="113"/>
      <c r="GL13" s="113"/>
      <c r="GM13" s="113"/>
      <c r="GN13" s="113"/>
      <c r="GO13" s="113"/>
      <c r="GP13" s="113"/>
      <c r="GQ13" s="113"/>
      <c r="GR13" s="113"/>
      <c r="GS13" s="113"/>
      <c r="GT13" s="113"/>
      <c r="GU13" s="113"/>
      <c r="GV13" s="113"/>
      <c r="GW13" s="113"/>
      <c r="GX13" s="113"/>
      <c r="GY13" s="113"/>
      <c r="GZ13" s="113"/>
      <c r="HA13" s="113"/>
      <c r="HB13" s="113"/>
      <c r="HC13" s="113"/>
      <c r="HD13" s="113"/>
      <c r="HE13" s="113"/>
      <c r="HF13" s="113"/>
      <c r="HG13" s="113"/>
      <c r="HH13" s="113"/>
      <c r="HI13" s="113"/>
      <c r="HJ13" s="113"/>
      <c r="HK13" s="113"/>
      <c r="HL13" s="113"/>
      <c r="HM13" s="113"/>
      <c r="HN13" s="113"/>
      <c r="HO13" s="113"/>
      <c r="HP13" s="113"/>
      <c r="HQ13" s="113"/>
      <c r="HR13" s="113"/>
      <c r="HS13" s="113"/>
      <c r="HT13" s="113"/>
      <c r="HU13" s="113"/>
      <c r="HV13" s="113"/>
      <c r="HW13" s="113"/>
      <c r="HX13" s="113"/>
      <c r="HY13" s="113"/>
      <c r="HZ13" s="113"/>
      <c r="IA13" s="113"/>
      <c r="IB13" s="113"/>
      <c r="IC13" s="113"/>
      <c r="ID13" s="113"/>
      <c r="IE13" s="113"/>
      <c r="IF13" s="113"/>
      <c r="IG13" s="113"/>
      <c r="IH13" s="113"/>
      <c r="II13" s="113"/>
      <c r="IJ13" s="113"/>
      <c r="IK13" s="113"/>
      <c r="IL13" s="113"/>
      <c r="IM13" s="113"/>
      <c r="IN13" s="113"/>
      <c r="IO13" s="113"/>
      <c r="IP13" s="113"/>
      <c r="IQ13" s="113"/>
      <c r="IR13" s="113"/>
      <c r="IS13" s="113"/>
      <c r="IT13" s="113"/>
      <c r="IU13" s="113"/>
    </row>
    <row r="14" spans="1:255" ht="36" x14ac:dyDescent="0.15">
      <c r="A14" s="114" t="s">
        <v>16</v>
      </c>
      <c r="B14" s="115" t="s">
        <v>340</v>
      </c>
      <c r="C14" s="115" t="s">
        <v>341</v>
      </c>
      <c r="D14" s="115" t="s">
        <v>342</v>
      </c>
      <c r="E14" s="115" t="s">
        <v>343</v>
      </c>
      <c r="F14" s="115" t="s">
        <v>344</v>
      </c>
      <c r="G14" s="115" t="s">
        <v>82</v>
      </c>
    </row>
    <row r="15" spans="1:255" ht="12" x14ac:dyDescent="0.15">
      <c r="A15" s="116" t="s">
        <v>23</v>
      </c>
      <c r="B15" s="117" t="s">
        <v>334</v>
      </c>
      <c r="C15" s="117" t="s">
        <v>334</v>
      </c>
      <c r="D15" s="117" t="s">
        <v>334</v>
      </c>
      <c r="E15" s="117" t="s">
        <v>334</v>
      </c>
      <c r="F15" s="117" t="s">
        <v>334</v>
      </c>
      <c r="G15" s="117" t="s">
        <v>334</v>
      </c>
    </row>
    <row r="16" spans="1:255" x14ac:dyDescent="0.15">
      <c r="A16" s="118" t="s">
        <v>34</v>
      </c>
      <c r="B16" s="119"/>
      <c r="C16" s="119"/>
      <c r="D16" s="119"/>
      <c r="E16" s="119"/>
      <c r="F16" s="119"/>
      <c r="G16" s="119"/>
    </row>
    <row r="17" spans="1:7" x14ac:dyDescent="0.15">
      <c r="A17" s="118" t="s">
        <v>32</v>
      </c>
      <c r="B17" s="120">
        <v>114469</v>
      </c>
      <c r="C17" s="120">
        <v>137808</v>
      </c>
      <c r="D17" s="120">
        <v>139012</v>
      </c>
      <c r="E17" s="120">
        <v>136612</v>
      </c>
      <c r="F17" s="120">
        <v>127419</v>
      </c>
      <c r="G17" s="120">
        <v>121032</v>
      </c>
    </row>
    <row r="18" spans="1:7" x14ac:dyDescent="0.15">
      <c r="A18" s="119" t="s">
        <v>90</v>
      </c>
      <c r="B18" s="127">
        <v>81480</v>
      </c>
      <c r="C18" s="127">
        <v>91168</v>
      </c>
      <c r="D18" s="127">
        <v>89073</v>
      </c>
      <c r="E18" s="127">
        <v>95815</v>
      </c>
      <c r="F18" s="127">
        <v>101711</v>
      </c>
      <c r="G18" s="127">
        <v>105919</v>
      </c>
    </row>
    <row r="19" spans="1:7" x14ac:dyDescent="0.15">
      <c r="A19" s="119" t="s">
        <v>226</v>
      </c>
      <c r="B19" s="127">
        <v>7586</v>
      </c>
      <c r="C19" s="127">
        <v>9037</v>
      </c>
      <c r="D19" s="127">
        <v>8480</v>
      </c>
      <c r="E19" s="127">
        <v>8865</v>
      </c>
      <c r="F19" s="127">
        <v>11599</v>
      </c>
      <c r="G19" s="127">
        <v>12141</v>
      </c>
    </row>
    <row r="20" spans="1:7" x14ac:dyDescent="0.15">
      <c r="A20" s="118" t="s">
        <v>227</v>
      </c>
      <c r="B20" s="131">
        <v>89066</v>
      </c>
      <c r="C20" s="131">
        <v>100205</v>
      </c>
      <c r="D20" s="131">
        <v>97553</v>
      </c>
      <c r="E20" s="131">
        <v>104680</v>
      </c>
      <c r="F20" s="131">
        <v>113310</v>
      </c>
      <c r="G20" s="131">
        <v>118060</v>
      </c>
    </row>
    <row r="21" spans="1:7" x14ac:dyDescent="0.15">
      <c r="A21" s="119"/>
      <c r="B21" s="119"/>
      <c r="C21" s="119"/>
      <c r="D21" s="119"/>
      <c r="E21" s="119"/>
      <c r="F21" s="119"/>
      <c r="G21" s="119"/>
    </row>
    <row r="22" spans="1:7" x14ac:dyDescent="0.15">
      <c r="A22" s="119" t="s">
        <v>358</v>
      </c>
      <c r="B22" s="127">
        <v>13623</v>
      </c>
      <c r="C22" s="127">
        <v>14161</v>
      </c>
      <c r="D22" s="127">
        <v>7896</v>
      </c>
      <c r="E22" s="127">
        <v>11028</v>
      </c>
      <c r="F22" s="127">
        <v>8663</v>
      </c>
      <c r="G22" s="127">
        <v>7966</v>
      </c>
    </row>
    <row r="23" spans="1:7" x14ac:dyDescent="0.15">
      <c r="A23" s="119" t="s">
        <v>359</v>
      </c>
      <c r="B23" s="127">
        <v>-857</v>
      </c>
      <c r="C23" s="127">
        <v>-1998</v>
      </c>
      <c r="D23" s="127">
        <v>-3010</v>
      </c>
      <c r="E23" s="127">
        <v>-3239</v>
      </c>
      <c r="F23" s="127">
        <v>666</v>
      </c>
      <c r="G23" s="127">
        <v>666</v>
      </c>
    </row>
    <row r="24" spans="1:7" x14ac:dyDescent="0.15">
      <c r="A24" s="119" t="s">
        <v>230</v>
      </c>
      <c r="B24" s="127">
        <v>-11816</v>
      </c>
      <c r="C24" s="127">
        <v>-5016</v>
      </c>
      <c r="D24" s="127">
        <v>-7506</v>
      </c>
      <c r="E24" s="127">
        <v>-9221</v>
      </c>
      <c r="F24" s="127">
        <v>-9619</v>
      </c>
      <c r="G24" s="127">
        <v>-8236</v>
      </c>
    </row>
    <row r="25" spans="1:7" x14ac:dyDescent="0.15">
      <c r="A25" s="119" t="s">
        <v>233</v>
      </c>
      <c r="B25" s="127">
        <v>-25087</v>
      </c>
      <c r="C25" s="127">
        <v>-17514</v>
      </c>
      <c r="D25" s="127">
        <v>-24065</v>
      </c>
      <c r="E25" s="127">
        <v>-23412</v>
      </c>
      <c r="F25" s="127">
        <v>-33688</v>
      </c>
      <c r="G25" s="127">
        <v>-27899</v>
      </c>
    </row>
    <row r="26" spans="1:7" x14ac:dyDescent="0.15">
      <c r="A26" s="119" t="s">
        <v>234</v>
      </c>
      <c r="B26" s="127">
        <v>-33861</v>
      </c>
      <c r="C26" s="127">
        <v>-20775</v>
      </c>
      <c r="D26" s="127">
        <v>-24993</v>
      </c>
      <c r="E26" s="127">
        <v>-61969</v>
      </c>
      <c r="F26" s="127">
        <v>-33582</v>
      </c>
      <c r="G26" s="127">
        <v>26980</v>
      </c>
    </row>
    <row r="27" spans="1:7" x14ac:dyDescent="0.15">
      <c r="A27" s="119" t="s">
        <v>235</v>
      </c>
      <c r="B27" s="127">
        <v>-5006</v>
      </c>
      <c r="C27" s="127">
        <v>-15207</v>
      </c>
      <c r="D27" s="127">
        <v>-16483</v>
      </c>
      <c r="E27" s="127">
        <v>-31492</v>
      </c>
      <c r="F27" s="127">
        <v>28427</v>
      </c>
      <c r="G27" s="127">
        <v>31906</v>
      </c>
    </row>
    <row r="28" spans="1:7" x14ac:dyDescent="0.15">
      <c r="A28" s="119" t="s">
        <v>236</v>
      </c>
      <c r="B28" s="127">
        <v>-694</v>
      </c>
      <c r="C28" s="127">
        <v>-473</v>
      </c>
      <c r="D28" s="127">
        <v>17982</v>
      </c>
      <c r="E28" s="127">
        <v>11594</v>
      </c>
      <c r="F28" s="127">
        <v>-11843</v>
      </c>
      <c r="G28" s="127">
        <v>-25259</v>
      </c>
    </row>
    <row r="29" spans="1:7" x14ac:dyDescent="0.15">
      <c r="A29" s="119" t="s">
        <v>237</v>
      </c>
      <c r="B29" s="127">
        <v>1445</v>
      </c>
      <c r="C29" s="127">
        <v>4951</v>
      </c>
      <c r="D29" s="127">
        <v>-12428</v>
      </c>
      <c r="E29" s="127">
        <v>-5401</v>
      </c>
      <c r="F29" s="127">
        <v>-13514</v>
      </c>
      <c r="G29" s="127">
        <v>-20236</v>
      </c>
    </row>
    <row r="30" spans="1:7" x14ac:dyDescent="0.15">
      <c r="A30" s="118" t="s">
        <v>238</v>
      </c>
      <c r="B30" s="131">
        <v>141282</v>
      </c>
      <c r="C30" s="131">
        <v>196142</v>
      </c>
      <c r="D30" s="131">
        <v>173958</v>
      </c>
      <c r="E30" s="131">
        <v>129180</v>
      </c>
      <c r="F30" s="131">
        <v>176239</v>
      </c>
      <c r="G30" s="131">
        <v>224980</v>
      </c>
    </row>
    <row r="31" spans="1:7" x14ac:dyDescent="0.15">
      <c r="A31" s="119"/>
      <c r="B31" s="119"/>
      <c r="C31" s="119"/>
      <c r="D31" s="119"/>
      <c r="E31" s="119"/>
      <c r="F31" s="119"/>
      <c r="G31" s="119"/>
    </row>
    <row r="32" spans="1:7" x14ac:dyDescent="0.15">
      <c r="A32" s="119" t="s">
        <v>239</v>
      </c>
      <c r="B32" s="127">
        <v>-123640</v>
      </c>
      <c r="C32" s="127">
        <v>-122787</v>
      </c>
      <c r="D32" s="127">
        <v>-141088</v>
      </c>
      <c r="E32" s="127">
        <v>-145400</v>
      </c>
      <c r="F32" s="127">
        <v>-165809</v>
      </c>
      <c r="G32" s="127">
        <v>-156067</v>
      </c>
    </row>
    <row r="33" spans="1:7" x14ac:dyDescent="0.15">
      <c r="A33" s="119" t="s">
        <v>360</v>
      </c>
      <c r="B33" s="127">
        <v>4608</v>
      </c>
      <c r="C33" s="127">
        <v>1702</v>
      </c>
      <c r="D33" s="127">
        <v>2114</v>
      </c>
      <c r="E33" s="127">
        <v>2996</v>
      </c>
      <c r="F33" s="127">
        <v>19254</v>
      </c>
      <c r="G33" s="127">
        <v>16954</v>
      </c>
    </row>
    <row r="34" spans="1:7" ht="12" x14ac:dyDescent="0.15">
      <c r="A34" s="119" t="s">
        <v>240</v>
      </c>
      <c r="B34" s="127">
        <v>-702</v>
      </c>
      <c r="C34" s="127">
        <v>-6226</v>
      </c>
      <c r="D34" s="127" t="s">
        <v>48</v>
      </c>
      <c r="E34" s="127" t="s">
        <v>48</v>
      </c>
      <c r="F34" s="127">
        <v>-114564</v>
      </c>
      <c r="G34" s="127">
        <v>-32</v>
      </c>
    </row>
    <row r="35" spans="1:7" ht="12" x14ac:dyDescent="0.15">
      <c r="A35" s="119" t="s">
        <v>241</v>
      </c>
      <c r="B35" s="127" t="s">
        <v>48</v>
      </c>
      <c r="C35" s="127" t="s">
        <v>48</v>
      </c>
      <c r="D35" s="127" t="s">
        <v>48</v>
      </c>
      <c r="E35" s="127" t="s">
        <v>48</v>
      </c>
      <c r="F35" s="127" t="s">
        <v>48</v>
      </c>
      <c r="G35" s="127" t="s">
        <v>48</v>
      </c>
    </row>
    <row r="36" spans="1:7" x14ac:dyDescent="0.15">
      <c r="A36" s="119" t="s">
        <v>361</v>
      </c>
      <c r="B36" s="127">
        <v>-3249</v>
      </c>
      <c r="C36" s="127">
        <v>-6327</v>
      </c>
      <c r="D36" s="127">
        <v>-2806</v>
      </c>
      <c r="E36" s="127">
        <v>-2525</v>
      </c>
      <c r="F36" s="127">
        <v>-3821</v>
      </c>
      <c r="G36" s="127">
        <v>-3772</v>
      </c>
    </row>
    <row r="37" spans="1:7" x14ac:dyDescent="0.15">
      <c r="A37" s="119" t="s">
        <v>242</v>
      </c>
      <c r="B37" s="127">
        <v>-8222</v>
      </c>
      <c r="C37" s="127">
        <v>-8984</v>
      </c>
      <c r="D37" s="127">
        <v>281</v>
      </c>
      <c r="E37" s="127">
        <v>-48959</v>
      </c>
      <c r="F37" s="127">
        <v>8390</v>
      </c>
      <c r="G37" s="127">
        <v>4371</v>
      </c>
    </row>
    <row r="38" spans="1:7" x14ac:dyDescent="0.15">
      <c r="A38" s="119" t="s">
        <v>243</v>
      </c>
      <c r="B38" s="127">
        <v>251</v>
      </c>
      <c r="C38" s="127">
        <v>-9966</v>
      </c>
      <c r="D38" s="127">
        <v>7036</v>
      </c>
      <c r="E38" s="127">
        <v>10365</v>
      </c>
      <c r="F38" s="127">
        <v>-1302</v>
      </c>
      <c r="G38" s="127">
        <v>-1302</v>
      </c>
    </row>
    <row r="39" spans="1:7" x14ac:dyDescent="0.15">
      <c r="A39" s="119" t="s">
        <v>244</v>
      </c>
      <c r="B39" s="127">
        <v>-9708</v>
      </c>
      <c r="C39" s="127">
        <v>-1826</v>
      </c>
      <c r="D39" s="127">
        <v>-779</v>
      </c>
      <c r="E39" s="127">
        <v>-3162</v>
      </c>
      <c r="F39" s="127">
        <v>-2395</v>
      </c>
      <c r="G39" s="127">
        <v>-7643</v>
      </c>
    </row>
    <row r="40" spans="1:7" x14ac:dyDescent="0.15">
      <c r="A40" s="118" t="s">
        <v>245</v>
      </c>
      <c r="B40" s="131">
        <v>-140662</v>
      </c>
      <c r="C40" s="131">
        <v>-154414</v>
      </c>
      <c r="D40" s="131">
        <v>-135242</v>
      </c>
      <c r="E40" s="131">
        <v>-186685</v>
      </c>
      <c r="F40" s="131">
        <v>-260247</v>
      </c>
      <c r="G40" s="131">
        <v>-147491</v>
      </c>
    </row>
    <row r="41" spans="1:7" x14ac:dyDescent="0.15">
      <c r="A41" s="119"/>
      <c r="B41" s="119"/>
      <c r="C41" s="119"/>
      <c r="D41" s="119"/>
      <c r="E41" s="119"/>
      <c r="F41" s="119"/>
      <c r="G41" s="119"/>
    </row>
    <row r="42" spans="1:7" ht="12" x14ac:dyDescent="0.15">
      <c r="A42" s="119" t="s">
        <v>246</v>
      </c>
      <c r="B42" s="127">
        <v>1293</v>
      </c>
      <c r="C42" s="127">
        <v>1000</v>
      </c>
      <c r="D42" s="127">
        <v>13000</v>
      </c>
      <c r="E42" s="127">
        <v>30520</v>
      </c>
      <c r="F42" s="127">
        <v>27404</v>
      </c>
      <c r="G42" s="127" t="s">
        <v>48</v>
      </c>
    </row>
    <row r="43" spans="1:7" ht="12" x14ac:dyDescent="0.15">
      <c r="A43" s="119" t="s">
        <v>247</v>
      </c>
      <c r="B43" s="127">
        <v>136850</v>
      </c>
      <c r="C43" s="127">
        <v>88182</v>
      </c>
      <c r="D43" s="127">
        <v>50929</v>
      </c>
      <c r="E43" s="127">
        <v>178912</v>
      </c>
      <c r="F43" s="127">
        <v>234530</v>
      </c>
      <c r="G43" s="127" t="s">
        <v>48</v>
      </c>
    </row>
    <row r="44" spans="1:7" x14ac:dyDescent="0.15">
      <c r="A44" s="118" t="s">
        <v>248</v>
      </c>
      <c r="B44" s="131">
        <v>138143</v>
      </c>
      <c r="C44" s="131">
        <v>89182</v>
      </c>
      <c r="D44" s="131">
        <v>63929</v>
      </c>
      <c r="E44" s="131">
        <v>209432</v>
      </c>
      <c r="F44" s="131">
        <v>261934</v>
      </c>
      <c r="G44" s="131">
        <v>145703</v>
      </c>
    </row>
    <row r="45" spans="1:7" ht="12" x14ac:dyDescent="0.15">
      <c r="A45" s="119" t="s">
        <v>249</v>
      </c>
      <c r="B45" s="127">
        <v>-5000</v>
      </c>
      <c r="C45" s="127">
        <v>-43255</v>
      </c>
      <c r="D45" s="127">
        <v>-4379</v>
      </c>
      <c r="E45" s="127" t="s">
        <v>48</v>
      </c>
      <c r="F45" s="127">
        <v>-46000</v>
      </c>
      <c r="G45" s="127" t="s">
        <v>48</v>
      </c>
    </row>
    <row r="46" spans="1:7" ht="12" x14ac:dyDescent="0.15">
      <c r="A46" s="119" t="s">
        <v>250</v>
      </c>
      <c r="B46" s="127">
        <v>-104266</v>
      </c>
      <c r="C46" s="127">
        <v>-66894</v>
      </c>
      <c r="D46" s="127">
        <v>-49313</v>
      </c>
      <c r="E46" s="127">
        <v>-111413</v>
      </c>
      <c r="F46" s="127">
        <v>-65350</v>
      </c>
      <c r="G46" s="127" t="s">
        <v>48</v>
      </c>
    </row>
    <row r="47" spans="1:7" x14ac:dyDescent="0.15">
      <c r="A47" s="118" t="s">
        <v>251</v>
      </c>
      <c r="B47" s="131">
        <v>-109266</v>
      </c>
      <c r="C47" s="131">
        <v>-110149</v>
      </c>
      <c r="D47" s="131">
        <v>-53692</v>
      </c>
      <c r="E47" s="131">
        <v>-111413</v>
      </c>
      <c r="F47" s="131">
        <v>-111350</v>
      </c>
      <c r="G47" s="131">
        <v>-183150</v>
      </c>
    </row>
    <row r="48" spans="1:7" x14ac:dyDescent="0.15">
      <c r="A48" s="119"/>
      <c r="B48" s="119"/>
      <c r="C48" s="119"/>
      <c r="D48" s="119"/>
      <c r="E48" s="119"/>
      <c r="F48" s="119"/>
      <c r="G48" s="119"/>
    </row>
    <row r="49" spans="1:7" ht="12" x14ac:dyDescent="0.15">
      <c r="A49" s="119" t="s">
        <v>253</v>
      </c>
      <c r="B49" s="127">
        <v>-20058</v>
      </c>
      <c r="C49" s="127">
        <v>-66</v>
      </c>
      <c r="D49" s="127" t="s">
        <v>48</v>
      </c>
      <c r="E49" s="127" t="s">
        <v>48</v>
      </c>
      <c r="F49" s="127" t="s">
        <v>48</v>
      </c>
      <c r="G49" s="127" t="s">
        <v>48</v>
      </c>
    </row>
    <row r="50" spans="1:7" x14ac:dyDescent="0.15">
      <c r="A50" s="119"/>
      <c r="B50" s="119"/>
      <c r="C50" s="119"/>
      <c r="D50" s="119"/>
      <c r="E50" s="119"/>
      <c r="F50" s="119"/>
      <c r="G50" s="119"/>
    </row>
    <row r="51" spans="1:7" x14ac:dyDescent="0.15">
      <c r="A51" s="119" t="s">
        <v>362</v>
      </c>
      <c r="B51" s="127">
        <v>-16165</v>
      </c>
      <c r="C51" s="127">
        <v>-19200</v>
      </c>
      <c r="D51" s="127">
        <v>-22396</v>
      </c>
      <c r="E51" s="127">
        <v>-22400</v>
      </c>
      <c r="F51" s="127">
        <v>-25602</v>
      </c>
      <c r="G51" s="127">
        <v>-25607</v>
      </c>
    </row>
    <row r="52" spans="1:7" x14ac:dyDescent="0.15">
      <c r="A52" s="118" t="s">
        <v>255</v>
      </c>
      <c r="B52" s="131">
        <v>-16165</v>
      </c>
      <c r="C52" s="131">
        <v>-19200</v>
      </c>
      <c r="D52" s="131">
        <v>-22396</v>
      </c>
      <c r="E52" s="131">
        <v>-22400</v>
      </c>
      <c r="F52" s="131">
        <v>-25602</v>
      </c>
      <c r="G52" s="131">
        <v>-25607</v>
      </c>
    </row>
    <row r="53" spans="1:7" x14ac:dyDescent="0.15">
      <c r="A53" s="119"/>
      <c r="B53" s="119"/>
      <c r="C53" s="119"/>
      <c r="D53" s="119"/>
      <c r="E53" s="119"/>
      <c r="F53" s="119"/>
      <c r="G53" s="119"/>
    </row>
    <row r="54" spans="1:7" ht="12" x14ac:dyDescent="0.15">
      <c r="A54" s="119" t="s">
        <v>256</v>
      </c>
      <c r="B54" s="127" t="s">
        <v>48</v>
      </c>
      <c r="C54" s="127" t="s">
        <v>48</v>
      </c>
      <c r="D54" s="127" t="s">
        <v>48</v>
      </c>
      <c r="E54" s="127" t="s">
        <v>48</v>
      </c>
      <c r="F54" s="127" t="s">
        <v>48</v>
      </c>
      <c r="G54" s="127" t="s">
        <v>48</v>
      </c>
    </row>
    <row r="55" spans="1:7" x14ac:dyDescent="0.15">
      <c r="A55" s="119" t="s">
        <v>257</v>
      </c>
      <c r="B55" s="127">
        <v>-2652</v>
      </c>
      <c r="C55" s="127">
        <v>-37372</v>
      </c>
      <c r="D55" s="127">
        <v>-5859</v>
      </c>
      <c r="E55" s="127">
        <v>-13846</v>
      </c>
      <c r="F55" s="127">
        <v>-6091</v>
      </c>
      <c r="G55" s="127">
        <v>-6180</v>
      </c>
    </row>
    <row r="56" spans="1:7" x14ac:dyDescent="0.15">
      <c r="A56" s="118" t="s">
        <v>258</v>
      </c>
      <c r="B56" s="131">
        <v>-9998</v>
      </c>
      <c r="C56" s="131">
        <v>-77605</v>
      </c>
      <c r="D56" s="131">
        <v>-18018</v>
      </c>
      <c r="E56" s="131">
        <v>61773</v>
      </c>
      <c r="F56" s="131">
        <v>118891</v>
      </c>
      <c r="G56" s="131">
        <v>-69234</v>
      </c>
    </row>
    <row r="57" spans="1:7" x14ac:dyDescent="0.15">
      <c r="A57" s="119"/>
      <c r="B57" s="119"/>
      <c r="C57" s="119"/>
      <c r="D57" s="119"/>
      <c r="E57" s="119"/>
      <c r="F57" s="119"/>
      <c r="G57" s="119"/>
    </row>
    <row r="58" spans="1:7" x14ac:dyDescent="0.15">
      <c r="A58" s="119" t="s">
        <v>259</v>
      </c>
      <c r="B58" s="127">
        <v>8730</v>
      </c>
      <c r="C58" s="127">
        <v>-7860</v>
      </c>
      <c r="D58" s="127">
        <v>-847</v>
      </c>
      <c r="E58" s="127">
        <v>-1924</v>
      </c>
      <c r="F58" s="127">
        <v>-327</v>
      </c>
      <c r="G58" s="127">
        <v>-8080</v>
      </c>
    </row>
    <row r="59" spans="1:7" ht="12" x14ac:dyDescent="0.15">
      <c r="A59" s="119" t="s">
        <v>363</v>
      </c>
      <c r="B59" s="127" t="s">
        <v>48</v>
      </c>
      <c r="C59" s="127">
        <v>41026</v>
      </c>
      <c r="D59" s="127">
        <v>1776</v>
      </c>
      <c r="E59" s="127">
        <v>566</v>
      </c>
      <c r="F59" s="127">
        <v>4207</v>
      </c>
      <c r="G59" s="127">
        <v>0</v>
      </c>
    </row>
    <row r="60" spans="1:7" x14ac:dyDescent="0.15">
      <c r="A60" s="118" t="s">
        <v>260</v>
      </c>
      <c r="B60" s="132">
        <v>-648</v>
      </c>
      <c r="C60" s="132">
        <v>-2711</v>
      </c>
      <c r="D60" s="132">
        <v>21627</v>
      </c>
      <c r="E60" s="132">
        <v>2910</v>
      </c>
      <c r="F60" s="132">
        <v>38763</v>
      </c>
      <c r="G60" s="132">
        <v>175</v>
      </c>
    </row>
    <row r="61" spans="1:7" x14ac:dyDescent="0.15">
      <c r="A61" s="119"/>
      <c r="B61" s="119"/>
      <c r="C61" s="119"/>
      <c r="D61" s="119"/>
      <c r="E61" s="119"/>
      <c r="F61" s="119"/>
      <c r="G61" s="119"/>
    </row>
    <row r="62" spans="1:7" x14ac:dyDescent="0.15">
      <c r="A62" s="118" t="s">
        <v>127</v>
      </c>
      <c r="B62" s="119"/>
      <c r="C62" s="119"/>
      <c r="D62" s="119"/>
      <c r="E62" s="119"/>
      <c r="F62" s="119"/>
      <c r="G62" s="119"/>
    </row>
    <row r="63" spans="1:7" x14ac:dyDescent="0.15">
      <c r="A63" s="119" t="s">
        <v>261</v>
      </c>
      <c r="B63" s="127">
        <v>6277</v>
      </c>
      <c r="C63" s="127">
        <v>5212</v>
      </c>
      <c r="D63" s="127">
        <v>4572</v>
      </c>
      <c r="E63" s="127">
        <v>5052</v>
      </c>
      <c r="F63" s="127">
        <v>7098</v>
      </c>
      <c r="G63" s="127">
        <v>5979</v>
      </c>
    </row>
    <row r="64" spans="1:7" x14ac:dyDescent="0.15">
      <c r="A64" s="119" t="s">
        <v>262</v>
      </c>
      <c r="B64" s="127">
        <v>29492</v>
      </c>
      <c r="C64" s="127">
        <v>27555</v>
      </c>
      <c r="D64" s="127">
        <v>28312</v>
      </c>
      <c r="E64" s="127">
        <v>34340</v>
      </c>
      <c r="F64" s="127">
        <v>42572</v>
      </c>
      <c r="G64" s="127">
        <v>38482</v>
      </c>
    </row>
    <row r="65" spans="1:7" x14ac:dyDescent="0.15">
      <c r="A65" s="119" t="s">
        <v>263</v>
      </c>
      <c r="B65" s="127">
        <v>-36820.300000000003</v>
      </c>
      <c r="C65" s="127">
        <v>56293.25</v>
      </c>
      <c r="D65" s="127">
        <v>36188.375</v>
      </c>
      <c r="E65" s="127">
        <v>-13715.9</v>
      </c>
      <c r="F65" s="127">
        <v>11581.5</v>
      </c>
      <c r="G65" s="127">
        <v>72208.5</v>
      </c>
    </row>
    <row r="66" spans="1:7" x14ac:dyDescent="0.15">
      <c r="A66" s="119" t="s">
        <v>264</v>
      </c>
      <c r="B66" s="127">
        <v>-32853.4</v>
      </c>
      <c r="C66" s="127">
        <v>59637</v>
      </c>
      <c r="D66" s="127">
        <v>39097.125</v>
      </c>
      <c r="E66" s="127">
        <v>-10534</v>
      </c>
      <c r="F66" s="127">
        <v>16057.125</v>
      </c>
      <c r="G66" s="127">
        <v>77024.75</v>
      </c>
    </row>
    <row r="67" spans="1:7" x14ac:dyDescent="0.15">
      <c r="A67" s="119" t="s">
        <v>265</v>
      </c>
      <c r="B67" s="127">
        <v>72206</v>
      </c>
      <c r="C67" s="127">
        <v>8004</v>
      </c>
      <c r="D67" s="127">
        <v>6370</v>
      </c>
      <c r="E67" s="127">
        <v>65079</v>
      </c>
      <c r="F67" s="127">
        <v>16041</v>
      </c>
      <c r="G67" s="127">
        <v>-34160</v>
      </c>
    </row>
    <row r="68" spans="1:7" x14ac:dyDescent="0.15">
      <c r="A68" s="119" t="s">
        <v>266</v>
      </c>
      <c r="B68" s="127">
        <v>28877</v>
      </c>
      <c r="C68" s="127">
        <v>-20967</v>
      </c>
      <c r="D68" s="127">
        <v>10237</v>
      </c>
      <c r="E68" s="127">
        <v>98019</v>
      </c>
      <c r="F68" s="127">
        <v>150584</v>
      </c>
      <c r="G68" s="127">
        <v>-37447</v>
      </c>
    </row>
    <row r="69" spans="1:7" x14ac:dyDescent="0.15">
      <c r="A69" s="119" t="s">
        <v>140</v>
      </c>
      <c r="B69" s="135">
        <v>42179</v>
      </c>
      <c r="C69" s="135">
        <v>42549</v>
      </c>
      <c r="D69" s="135">
        <v>42913</v>
      </c>
      <c r="E69" s="135">
        <v>43277</v>
      </c>
      <c r="F69" s="135">
        <v>43641</v>
      </c>
      <c r="G69" s="135">
        <v>43777</v>
      </c>
    </row>
    <row r="70" spans="1:7" ht="12" x14ac:dyDescent="0.15">
      <c r="A70" s="119" t="s">
        <v>141</v>
      </c>
      <c r="B70" s="124" t="s">
        <v>143</v>
      </c>
      <c r="C70" s="124" t="s">
        <v>143</v>
      </c>
      <c r="D70" s="124" t="s">
        <v>143</v>
      </c>
      <c r="E70" s="124" t="s">
        <v>143</v>
      </c>
      <c r="F70" s="124" t="s">
        <v>143</v>
      </c>
      <c r="G70" s="124" t="s">
        <v>143</v>
      </c>
    </row>
    <row r="71" spans="1:7" ht="12" x14ac:dyDescent="0.15">
      <c r="A71" s="119" t="s">
        <v>144</v>
      </c>
      <c r="B71" s="124" t="s">
        <v>145</v>
      </c>
      <c r="C71" s="124" t="s">
        <v>145</v>
      </c>
      <c r="D71" s="124" t="s">
        <v>145</v>
      </c>
      <c r="E71" s="124" t="s">
        <v>145</v>
      </c>
      <c r="F71" s="124" t="s">
        <v>145</v>
      </c>
      <c r="G71" s="124" t="s">
        <v>146</v>
      </c>
    </row>
    <row r="72" spans="1:7" x14ac:dyDescent="0.15">
      <c r="A72" s="119"/>
      <c r="B72" s="119"/>
      <c r="C72" s="119"/>
      <c r="D72" s="119"/>
      <c r="E72" s="119"/>
      <c r="F72" s="119"/>
      <c r="G72" s="119"/>
    </row>
    <row r="73" spans="1:7" ht="12" x14ac:dyDescent="0.15">
      <c r="A73" s="119" t="s">
        <v>335</v>
      </c>
      <c r="B73" s="124" t="s">
        <v>336</v>
      </c>
      <c r="C73" s="124" t="s">
        <v>336</v>
      </c>
      <c r="D73" s="124" t="s">
        <v>336</v>
      </c>
      <c r="E73" s="124" t="s">
        <v>336</v>
      </c>
      <c r="F73" s="124" t="s">
        <v>336</v>
      </c>
      <c r="G73" s="124" t="s">
        <v>337</v>
      </c>
    </row>
    <row r="74" spans="1:7" ht="72" x14ac:dyDescent="0.15">
      <c r="A74" s="141" t="s">
        <v>66</v>
      </c>
      <c r="B74" s="125"/>
      <c r="C74" s="125"/>
      <c r="D74" s="125"/>
      <c r="E74" s="125"/>
      <c r="F74" s="125"/>
      <c r="G74" s="125"/>
    </row>
  </sheetData>
  <pageMargins left="0.2" right="0.2" top="0.5" bottom="0.5" header="0.5" footer="0.5"/>
  <pageSetup fitToWidth="0" fitToHeight="0" orientation="landscape" horizontalDpi="0" verticalDpi="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DD165-6FAD-4F26-BC03-261CB4FD6CA4}">
  <dimension ref="B4:D21"/>
  <sheetViews>
    <sheetView showGridLines="0" topLeftCell="A4" workbookViewId="0">
      <selection activeCell="C17" sqref="C17"/>
    </sheetView>
  </sheetViews>
  <sheetFormatPr baseColWidth="10" defaultColWidth="8.75" defaultRowHeight="12" x14ac:dyDescent="0.15"/>
  <cols>
    <col min="2" max="2" width="10.75" bestFit="1" customWidth="1"/>
  </cols>
  <sheetData>
    <row r="4" spans="2:4" ht="13" thickBot="1" x14ac:dyDescent="0.2">
      <c r="B4" s="68"/>
      <c r="C4" s="67">
        <v>2017</v>
      </c>
      <c r="D4" s="67">
        <v>2018</v>
      </c>
    </row>
    <row r="5" spans="2:4" ht="13" thickTop="1" x14ac:dyDescent="0.15">
      <c r="B5" t="s">
        <v>365</v>
      </c>
      <c r="C5">
        <v>1597.1</v>
      </c>
      <c r="D5">
        <v>1770.5</v>
      </c>
    </row>
    <row r="6" spans="2:4" x14ac:dyDescent="0.15">
      <c r="B6" t="s">
        <v>366</v>
      </c>
      <c r="C6">
        <v>376.2</v>
      </c>
      <c r="D6">
        <v>418.6</v>
      </c>
    </row>
    <row r="7" spans="2:4" x14ac:dyDescent="0.15">
      <c r="B7" s="144" t="s">
        <v>369</v>
      </c>
      <c r="C7" s="144">
        <f>SUM(C5:C6)</f>
        <v>1973.3</v>
      </c>
      <c r="D7" s="144">
        <f>SUM(D5:D6)</f>
        <v>2189.1</v>
      </c>
    </row>
    <row r="9" spans="2:4" x14ac:dyDescent="0.15">
      <c r="B9" t="s">
        <v>373</v>
      </c>
      <c r="C9">
        <f>'Income Statement'!E21</f>
        <v>1421.5</v>
      </c>
      <c r="D9">
        <f>'Income Statement'!F21</f>
        <v>1608.3</v>
      </c>
    </row>
    <row r="10" spans="2:4" x14ac:dyDescent="0.15">
      <c r="B10" t="s">
        <v>374</v>
      </c>
      <c r="C10">
        <f>'Income Statement'!E24</f>
        <v>151.80000000000001</v>
      </c>
      <c r="D10">
        <f>'Income Statement'!F24</f>
        <v>146</v>
      </c>
    </row>
    <row r="11" spans="2:4" x14ac:dyDescent="0.15">
      <c r="B11" t="s">
        <v>375</v>
      </c>
      <c r="C11">
        <f>'Income Statement'!E26</f>
        <v>49.4</v>
      </c>
      <c r="D11">
        <f>'Income Statement'!F26</f>
        <v>55.9</v>
      </c>
    </row>
    <row r="12" spans="2:4" x14ac:dyDescent="0.15">
      <c r="B12" t="s">
        <v>376</v>
      </c>
      <c r="C12">
        <f>'Income Statement'!E29</f>
        <v>0</v>
      </c>
      <c r="D12">
        <f>'Income Statement'!F29</f>
        <v>7.3</v>
      </c>
    </row>
    <row r="13" spans="2:4" x14ac:dyDescent="0.15">
      <c r="B13" s="37" t="s">
        <v>377</v>
      </c>
      <c r="C13" s="37">
        <f>SUM(C9:C12)</f>
        <v>1622.7</v>
      </c>
      <c r="D13" s="37">
        <f>SUM(D9:D12)</f>
        <v>1817.5</v>
      </c>
    </row>
    <row r="14" spans="2:4" x14ac:dyDescent="0.15">
      <c r="B14" t="s">
        <v>378</v>
      </c>
      <c r="C14">
        <f>C7-C13</f>
        <v>350.59999999999991</v>
      </c>
      <c r="D14">
        <f>D7-D13</f>
        <v>371.59999999999991</v>
      </c>
    </row>
    <row r="17" spans="2:4" x14ac:dyDescent="0.15">
      <c r="B17" t="s">
        <v>367</v>
      </c>
      <c r="C17">
        <v>359.4</v>
      </c>
      <c r="D17">
        <v>373.8</v>
      </c>
    </row>
    <row r="18" spans="2:4" x14ac:dyDescent="0.15">
      <c r="B18" t="s">
        <v>368</v>
      </c>
      <c r="C18">
        <v>48.7</v>
      </c>
      <c r="D18">
        <v>50.6</v>
      </c>
    </row>
    <row r="19" spans="2:4" x14ac:dyDescent="0.15">
      <c r="B19" s="144" t="s">
        <v>371</v>
      </c>
      <c r="C19" s="144">
        <f>SUM(C17:C18)</f>
        <v>408.09999999999997</v>
      </c>
      <c r="D19" s="144">
        <f>SUM(D17:D18)</f>
        <v>424.40000000000003</v>
      </c>
    </row>
    <row r="20" spans="2:4" x14ac:dyDescent="0.15">
      <c r="B20" t="s">
        <v>372</v>
      </c>
      <c r="C20">
        <v>-57.5</v>
      </c>
      <c r="D20">
        <v>-53.2</v>
      </c>
    </row>
    <row r="21" spans="2:4" x14ac:dyDescent="0.15">
      <c r="B21" s="37" t="s">
        <v>370</v>
      </c>
      <c r="C21" s="37">
        <f>SUM(C19:C20)</f>
        <v>350.59999999999997</v>
      </c>
      <c r="D21" s="37">
        <f>SUM(D19:D20)</f>
        <v>371.20000000000005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A392-7211-4FCD-93BB-5B206594D6D9}">
  <sheetPr>
    <tabColor theme="4"/>
  </sheetPr>
  <dimension ref="A1"/>
  <sheetViews>
    <sheetView topLeftCell="A51" workbookViewId="0">
      <selection activeCell="D51" sqref="D51"/>
    </sheetView>
  </sheetViews>
  <sheetFormatPr baseColWidth="10" defaultColWidth="8.75" defaultRowHeight="12"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74F9-3354-4F50-B748-4019728D12F4}">
  <sheetPr>
    <outlinePr summaryBelow="0" summaryRight="0"/>
    <pageSetUpPr autoPageBreaks="0"/>
  </sheetPr>
  <dimension ref="A5:IU102"/>
  <sheetViews>
    <sheetView topLeftCell="A13" zoomScale="150" workbookViewId="0">
      <selection activeCell="B33" sqref="B33"/>
    </sheetView>
  </sheetViews>
  <sheetFormatPr baseColWidth="10" defaultColWidth="8.75" defaultRowHeight="11" x14ac:dyDescent="0.15"/>
  <cols>
    <col min="1" max="1" width="53.5" style="2" customWidth="1"/>
    <col min="2" max="7" width="17.25" style="2" customWidth="1"/>
    <col min="8" max="256" width="9.25" style="2"/>
    <col min="257" max="257" width="53.5" style="2" customWidth="1"/>
    <col min="258" max="263" width="17.25" style="2" customWidth="1"/>
    <col min="264" max="512" width="9.25" style="2"/>
    <col min="513" max="513" width="53.5" style="2" customWidth="1"/>
    <col min="514" max="519" width="17.25" style="2" customWidth="1"/>
    <col min="520" max="768" width="9.25" style="2"/>
    <col min="769" max="769" width="53.5" style="2" customWidth="1"/>
    <col min="770" max="775" width="17.25" style="2" customWidth="1"/>
    <col min="776" max="1024" width="9.25" style="2"/>
    <col min="1025" max="1025" width="53.5" style="2" customWidth="1"/>
    <col min="1026" max="1031" width="17.25" style="2" customWidth="1"/>
    <col min="1032" max="1280" width="9.25" style="2"/>
    <col min="1281" max="1281" width="53.5" style="2" customWidth="1"/>
    <col min="1282" max="1287" width="17.25" style="2" customWidth="1"/>
    <col min="1288" max="1536" width="9.25" style="2"/>
    <col min="1537" max="1537" width="53.5" style="2" customWidth="1"/>
    <col min="1538" max="1543" width="17.25" style="2" customWidth="1"/>
    <col min="1544" max="1792" width="9.25" style="2"/>
    <col min="1793" max="1793" width="53.5" style="2" customWidth="1"/>
    <col min="1794" max="1799" width="17.25" style="2" customWidth="1"/>
    <col min="1800" max="2048" width="9.25" style="2"/>
    <col min="2049" max="2049" width="53.5" style="2" customWidth="1"/>
    <col min="2050" max="2055" width="17.25" style="2" customWidth="1"/>
    <col min="2056" max="2304" width="9.25" style="2"/>
    <col min="2305" max="2305" width="53.5" style="2" customWidth="1"/>
    <col min="2306" max="2311" width="17.25" style="2" customWidth="1"/>
    <col min="2312" max="2560" width="9.25" style="2"/>
    <col min="2561" max="2561" width="53.5" style="2" customWidth="1"/>
    <col min="2562" max="2567" width="17.25" style="2" customWidth="1"/>
    <col min="2568" max="2816" width="9.25" style="2"/>
    <col min="2817" max="2817" width="53.5" style="2" customWidth="1"/>
    <col min="2818" max="2823" width="17.25" style="2" customWidth="1"/>
    <col min="2824" max="3072" width="9.25" style="2"/>
    <col min="3073" max="3073" width="53.5" style="2" customWidth="1"/>
    <col min="3074" max="3079" width="17.25" style="2" customWidth="1"/>
    <col min="3080" max="3328" width="9.25" style="2"/>
    <col min="3329" max="3329" width="53.5" style="2" customWidth="1"/>
    <col min="3330" max="3335" width="17.25" style="2" customWidth="1"/>
    <col min="3336" max="3584" width="9.25" style="2"/>
    <col min="3585" max="3585" width="53.5" style="2" customWidth="1"/>
    <col min="3586" max="3591" width="17.25" style="2" customWidth="1"/>
    <col min="3592" max="3840" width="9.25" style="2"/>
    <col min="3841" max="3841" width="53.5" style="2" customWidth="1"/>
    <col min="3842" max="3847" width="17.25" style="2" customWidth="1"/>
    <col min="3848" max="4096" width="9.25" style="2"/>
    <col min="4097" max="4097" width="53.5" style="2" customWidth="1"/>
    <col min="4098" max="4103" width="17.25" style="2" customWidth="1"/>
    <col min="4104" max="4352" width="9.25" style="2"/>
    <col min="4353" max="4353" width="53.5" style="2" customWidth="1"/>
    <col min="4354" max="4359" width="17.25" style="2" customWidth="1"/>
    <col min="4360" max="4608" width="9.25" style="2"/>
    <col min="4609" max="4609" width="53.5" style="2" customWidth="1"/>
    <col min="4610" max="4615" width="17.25" style="2" customWidth="1"/>
    <col min="4616" max="4864" width="9.25" style="2"/>
    <col min="4865" max="4865" width="53.5" style="2" customWidth="1"/>
    <col min="4866" max="4871" width="17.25" style="2" customWidth="1"/>
    <col min="4872" max="5120" width="9.25" style="2"/>
    <col min="5121" max="5121" width="53.5" style="2" customWidth="1"/>
    <col min="5122" max="5127" width="17.25" style="2" customWidth="1"/>
    <col min="5128" max="5376" width="9.25" style="2"/>
    <col min="5377" max="5377" width="53.5" style="2" customWidth="1"/>
    <col min="5378" max="5383" width="17.25" style="2" customWidth="1"/>
    <col min="5384" max="5632" width="9.25" style="2"/>
    <col min="5633" max="5633" width="53.5" style="2" customWidth="1"/>
    <col min="5634" max="5639" width="17.25" style="2" customWidth="1"/>
    <col min="5640" max="5888" width="9.25" style="2"/>
    <col min="5889" max="5889" width="53.5" style="2" customWidth="1"/>
    <col min="5890" max="5895" width="17.25" style="2" customWidth="1"/>
    <col min="5896" max="6144" width="9.25" style="2"/>
    <col min="6145" max="6145" width="53.5" style="2" customWidth="1"/>
    <col min="6146" max="6151" width="17.25" style="2" customWidth="1"/>
    <col min="6152" max="6400" width="9.25" style="2"/>
    <col min="6401" max="6401" width="53.5" style="2" customWidth="1"/>
    <col min="6402" max="6407" width="17.25" style="2" customWidth="1"/>
    <col min="6408" max="6656" width="9.25" style="2"/>
    <col min="6657" max="6657" width="53.5" style="2" customWidth="1"/>
    <col min="6658" max="6663" width="17.25" style="2" customWidth="1"/>
    <col min="6664" max="6912" width="9.25" style="2"/>
    <col min="6913" max="6913" width="53.5" style="2" customWidth="1"/>
    <col min="6914" max="6919" width="17.25" style="2" customWidth="1"/>
    <col min="6920" max="7168" width="9.25" style="2"/>
    <col min="7169" max="7169" width="53.5" style="2" customWidth="1"/>
    <col min="7170" max="7175" width="17.25" style="2" customWidth="1"/>
    <col min="7176" max="7424" width="9.25" style="2"/>
    <col min="7425" max="7425" width="53.5" style="2" customWidth="1"/>
    <col min="7426" max="7431" width="17.25" style="2" customWidth="1"/>
    <col min="7432" max="7680" width="9.25" style="2"/>
    <col min="7681" max="7681" width="53.5" style="2" customWidth="1"/>
    <col min="7682" max="7687" width="17.25" style="2" customWidth="1"/>
    <col min="7688" max="7936" width="9.25" style="2"/>
    <col min="7937" max="7937" width="53.5" style="2" customWidth="1"/>
    <col min="7938" max="7943" width="17.25" style="2" customWidth="1"/>
    <col min="7944" max="8192" width="9.25" style="2"/>
    <col min="8193" max="8193" width="53.5" style="2" customWidth="1"/>
    <col min="8194" max="8199" width="17.25" style="2" customWidth="1"/>
    <col min="8200" max="8448" width="9.25" style="2"/>
    <col min="8449" max="8449" width="53.5" style="2" customWidth="1"/>
    <col min="8450" max="8455" width="17.25" style="2" customWidth="1"/>
    <col min="8456" max="8704" width="9.25" style="2"/>
    <col min="8705" max="8705" width="53.5" style="2" customWidth="1"/>
    <col min="8706" max="8711" width="17.25" style="2" customWidth="1"/>
    <col min="8712" max="8960" width="9.25" style="2"/>
    <col min="8961" max="8961" width="53.5" style="2" customWidth="1"/>
    <col min="8962" max="8967" width="17.25" style="2" customWidth="1"/>
    <col min="8968" max="9216" width="9.25" style="2"/>
    <col min="9217" max="9217" width="53.5" style="2" customWidth="1"/>
    <col min="9218" max="9223" width="17.25" style="2" customWidth="1"/>
    <col min="9224" max="9472" width="9.25" style="2"/>
    <col min="9473" max="9473" width="53.5" style="2" customWidth="1"/>
    <col min="9474" max="9479" width="17.25" style="2" customWidth="1"/>
    <col min="9480" max="9728" width="9.25" style="2"/>
    <col min="9729" max="9729" width="53.5" style="2" customWidth="1"/>
    <col min="9730" max="9735" width="17.25" style="2" customWidth="1"/>
    <col min="9736" max="9984" width="9.25" style="2"/>
    <col min="9985" max="9985" width="53.5" style="2" customWidth="1"/>
    <col min="9986" max="9991" width="17.25" style="2" customWidth="1"/>
    <col min="9992" max="10240" width="9.25" style="2"/>
    <col min="10241" max="10241" width="53.5" style="2" customWidth="1"/>
    <col min="10242" max="10247" width="17.25" style="2" customWidth="1"/>
    <col min="10248" max="10496" width="9.25" style="2"/>
    <col min="10497" max="10497" width="53.5" style="2" customWidth="1"/>
    <col min="10498" max="10503" width="17.25" style="2" customWidth="1"/>
    <col min="10504" max="10752" width="9.25" style="2"/>
    <col min="10753" max="10753" width="53.5" style="2" customWidth="1"/>
    <col min="10754" max="10759" width="17.25" style="2" customWidth="1"/>
    <col min="10760" max="11008" width="9.25" style="2"/>
    <col min="11009" max="11009" width="53.5" style="2" customWidth="1"/>
    <col min="11010" max="11015" width="17.25" style="2" customWidth="1"/>
    <col min="11016" max="11264" width="9.25" style="2"/>
    <col min="11265" max="11265" width="53.5" style="2" customWidth="1"/>
    <col min="11266" max="11271" width="17.25" style="2" customWidth="1"/>
    <col min="11272" max="11520" width="9.25" style="2"/>
    <col min="11521" max="11521" width="53.5" style="2" customWidth="1"/>
    <col min="11522" max="11527" width="17.25" style="2" customWidth="1"/>
    <col min="11528" max="11776" width="9.25" style="2"/>
    <col min="11777" max="11777" width="53.5" style="2" customWidth="1"/>
    <col min="11778" max="11783" width="17.25" style="2" customWidth="1"/>
    <col min="11784" max="12032" width="9.25" style="2"/>
    <col min="12033" max="12033" width="53.5" style="2" customWidth="1"/>
    <col min="12034" max="12039" width="17.25" style="2" customWidth="1"/>
    <col min="12040" max="12288" width="9.25" style="2"/>
    <col min="12289" max="12289" width="53.5" style="2" customWidth="1"/>
    <col min="12290" max="12295" width="17.25" style="2" customWidth="1"/>
    <col min="12296" max="12544" width="9.25" style="2"/>
    <col min="12545" max="12545" width="53.5" style="2" customWidth="1"/>
    <col min="12546" max="12551" width="17.25" style="2" customWidth="1"/>
    <col min="12552" max="12800" width="9.25" style="2"/>
    <col min="12801" max="12801" width="53.5" style="2" customWidth="1"/>
    <col min="12802" max="12807" width="17.25" style="2" customWidth="1"/>
    <col min="12808" max="13056" width="9.25" style="2"/>
    <col min="13057" max="13057" width="53.5" style="2" customWidth="1"/>
    <col min="13058" max="13063" width="17.25" style="2" customWidth="1"/>
    <col min="13064" max="13312" width="9.25" style="2"/>
    <col min="13313" max="13313" width="53.5" style="2" customWidth="1"/>
    <col min="13314" max="13319" width="17.25" style="2" customWidth="1"/>
    <col min="13320" max="13568" width="9.25" style="2"/>
    <col min="13569" max="13569" width="53.5" style="2" customWidth="1"/>
    <col min="13570" max="13575" width="17.25" style="2" customWidth="1"/>
    <col min="13576" max="13824" width="9.25" style="2"/>
    <col min="13825" max="13825" width="53.5" style="2" customWidth="1"/>
    <col min="13826" max="13831" width="17.25" style="2" customWidth="1"/>
    <col min="13832" max="14080" width="9.25" style="2"/>
    <col min="14081" max="14081" width="53.5" style="2" customWidth="1"/>
    <col min="14082" max="14087" width="17.25" style="2" customWidth="1"/>
    <col min="14088" max="14336" width="9.25" style="2"/>
    <col min="14337" max="14337" width="53.5" style="2" customWidth="1"/>
    <col min="14338" max="14343" width="17.25" style="2" customWidth="1"/>
    <col min="14344" max="14592" width="9.25" style="2"/>
    <col min="14593" max="14593" width="53.5" style="2" customWidth="1"/>
    <col min="14594" max="14599" width="17.25" style="2" customWidth="1"/>
    <col min="14600" max="14848" width="9.25" style="2"/>
    <col min="14849" max="14849" width="53.5" style="2" customWidth="1"/>
    <col min="14850" max="14855" width="17.25" style="2" customWidth="1"/>
    <col min="14856" max="15104" width="9.25" style="2"/>
    <col min="15105" max="15105" width="53.5" style="2" customWidth="1"/>
    <col min="15106" max="15111" width="17.25" style="2" customWidth="1"/>
    <col min="15112" max="15360" width="9.25" style="2"/>
    <col min="15361" max="15361" width="53.5" style="2" customWidth="1"/>
    <col min="15362" max="15367" width="17.25" style="2" customWidth="1"/>
    <col min="15368" max="15616" width="9.25" style="2"/>
    <col min="15617" max="15617" width="53.5" style="2" customWidth="1"/>
    <col min="15618" max="15623" width="17.25" style="2" customWidth="1"/>
    <col min="15624" max="15872" width="9.25" style="2"/>
    <col min="15873" max="15873" width="53.5" style="2" customWidth="1"/>
    <col min="15874" max="15879" width="17.25" style="2" customWidth="1"/>
    <col min="15880" max="16128" width="9.25" style="2"/>
    <col min="16129" max="16129" width="53.5" style="2" customWidth="1"/>
    <col min="16130" max="16135" width="17.25" style="2" customWidth="1"/>
    <col min="16136" max="16384" width="9.25" style="2"/>
  </cols>
  <sheetData>
    <row r="5" spans="1:255" ht="17" x14ac:dyDescent="0.2">
      <c r="A5" s="1" t="s">
        <v>0</v>
      </c>
    </row>
    <row r="7" spans="1:255" ht="12" x14ac:dyDescent="0.15">
      <c r="A7" s="3" t="s">
        <v>1</v>
      </c>
      <c r="B7" s="4" t="s">
        <v>2</v>
      </c>
      <c r="C7" s="2" t="s">
        <v>3</v>
      </c>
      <c r="D7" s="5" t="s">
        <v>4</v>
      </c>
      <c r="E7" s="4" t="s">
        <v>5</v>
      </c>
      <c r="F7" s="2" t="s">
        <v>6</v>
      </c>
    </row>
    <row r="8" spans="1:255" x14ac:dyDescent="0.15">
      <c r="A8" s="5"/>
      <c r="B8" s="4" t="s">
        <v>7</v>
      </c>
      <c r="C8" s="2" t="s">
        <v>8</v>
      </c>
      <c r="D8" s="5" t="s">
        <v>4</v>
      </c>
      <c r="E8" s="4" t="s">
        <v>9</v>
      </c>
      <c r="F8" s="2" t="s">
        <v>10</v>
      </c>
    </row>
    <row r="9" spans="1:255" x14ac:dyDescent="0.15">
      <c r="A9" s="5"/>
      <c r="B9" s="4" t="s">
        <v>11</v>
      </c>
      <c r="C9" s="6" t="s">
        <v>12</v>
      </c>
      <c r="D9" s="5" t="s">
        <v>4</v>
      </c>
      <c r="E9" s="4" t="s">
        <v>13</v>
      </c>
      <c r="F9" s="2" t="s">
        <v>14</v>
      </c>
    </row>
    <row r="12" spans="1:255" x14ac:dyDescent="0.15">
      <c r="A12" s="7" t="s">
        <v>15</v>
      </c>
      <c r="B12" s="7"/>
      <c r="C12" s="7"/>
      <c r="D12" s="7"/>
      <c r="E12" s="7"/>
      <c r="F12" s="7"/>
      <c r="G12" s="7"/>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row>
    <row r="13" spans="1:255" ht="36" x14ac:dyDescent="0.15">
      <c r="A13" s="9" t="s">
        <v>16</v>
      </c>
      <c r="B13" s="10" t="s">
        <v>17</v>
      </c>
      <c r="C13" s="10" t="s">
        <v>18</v>
      </c>
      <c r="D13" s="10" t="s">
        <v>19</v>
      </c>
      <c r="E13" s="10" t="s">
        <v>20</v>
      </c>
      <c r="F13" s="10" t="s">
        <v>21</v>
      </c>
      <c r="G13" s="10" t="s">
        <v>22</v>
      </c>
    </row>
    <row r="14" spans="1:255" ht="12" x14ac:dyDescent="0.15">
      <c r="A14" s="11" t="s">
        <v>23</v>
      </c>
      <c r="B14" s="12" t="s">
        <v>24</v>
      </c>
      <c r="C14" s="12" t="s">
        <v>24</v>
      </c>
      <c r="D14" s="12" t="s">
        <v>24</v>
      </c>
      <c r="E14" s="12" t="s">
        <v>24</v>
      </c>
      <c r="F14" s="12" t="s">
        <v>24</v>
      </c>
      <c r="G14" s="12" t="s">
        <v>24</v>
      </c>
    </row>
    <row r="15" spans="1:255" x14ac:dyDescent="0.15">
      <c r="A15" s="13"/>
      <c r="B15" s="14"/>
      <c r="C15" s="14"/>
      <c r="D15" s="14"/>
      <c r="E15" s="14"/>
      <c r="F15" s="14"/>
      <c r="G15" s="14"/>
    </row>
    <row r="16" spans="1:255" x14ac:dyDescent="0.15">
      <c r="A16" s="13" t="s">
        <v>25</v>
      </c>
      <c r="B16" s="15">
        <v>1855.5</v>
      </c>
      <c r="C16" s="15">
        <v>1861.2</v>
      </c>
      <c r="D16" s="15">
        <v>2004.3</v>
      </c>
      <c r="E16" s="15">
        <v>1973.3</v>
      </c>
      <c r="F16" s="15">
        <v>2189.1</v>
      </c>
      <c r="G16" s="15">
        <v>2352.4</v>
      </c>
    </row>
    <row r="17" spans="1:7" x14ac:dyDescent="0.15">
      <c r="A17" s="16" t="s">
        <v>26</v>
      </c>
      <c r="B17" s="17">
        <v>0.10564800000000001</v>
      </c>
      <c r="C17" s="17">
        <v>3.0709999999999999E-3</v>
      </c>
      <c r="D17" s="17">
        <v>7.6884999999999995E-2</v>
      </c>
      <c r="E17" s="17">
        <v>-1.5467E-2</v>
      </c>
      <c r="F17" s="17">
        <v>0.109359</v>
      </c>
      <c r="G17" s="17">
        <v>9.9354999999999999E-2</v>
      </c>
    </row>
    <row r="18" spans="1:7" x14ac:dyDescent="0.15">
      <c r="A18" s="14"/>
      <c r="B18" s="14"/>
      <c r="C18" s="14"/>
      <c r="D18" s="14"/>
      <c r="E18" s="14"/>
      <c r="F18" s="14"/>
      <c r="G18" s="14"/>
    </row>
    <row r="19" spans="1:7" x14ac:dyDescent="0.15">
      <c r="A19" s="13" t="s">
        <v>27</v>
      </c>
      <c r="B19" s="15">
        <v>508.8</v>
      </c>
      <c r="C19" s="15">
        <v>532.79999999999995</v>
      </c>
      <c r="D19" s="15">
        <v>564.6</v>
      </c>
      <c r="E19" s="15">
        <v>551.79999999999995</v>
      </c>
      <c r="F19" s="15">
        <v>580.79999999999995</v>
      </c>
      <c r="G19" s="15">
        <v>644.29999999999995</v>
      </c>
    </row>
    <row r="20" spans="1:7" x14ac:dyDescent="0.15">
      <c r="A20" s="16" t="s">
        <v>28</v>
      </c>
      <c r="B20" s="17">
        <v>0.27421099999999998</v>
      </c>
      <c r="C20" s="17">
        <v>0.28626600000000002</v>
      </c>
      <c r="D20" s="17">
        <v>0.281694</v>
      </c>
      <c r="E20" s="17">
        <v>0.27963300000000002</v>
      </c>
      <c r="F20" s="17">
        <v>0.26531399999999999</v>
      </c>
      <c r="G20" s="17">
        <v>0.27389000000000002</v>
      </c>
    </row>
    <row r="21" spans="1:7" x14ac:dyDescent="0.15">
      <c r="A21" s="14"/>
      <c r="B21" s="14"/>
      <c r="C21" s="14"/>
      <c r="D21" s="14"/>
      <c r="E21" s="14"/>
      <c r="F21" s="14"/>
      <c r="G21" s="14"/>
    </row>
    <row r="22" spans="1:7" x14ac:dyDescent="0.15">
      <c r="A22" s="13" t="s">
        <v>29</v>
      </c>
      <c r="B22" s="15">
        <v>383</v>
      </c>
      <c r="C22" s="15">
        <v>408.8</v>
      </c>
      <c r="D22" s="15">
        <v>453.4</v>
      </c>
      <c r="E22" s="15">
        <v>455.1</v>
      </c>
      <c r="F22" s="15">
        <v>494.7</v>
      </c>
      <c r="G22" s="15">
        <v>563.4</v>
      </c>
    </row>
    <row r="23" spans="1:7" x14ac:dyDescent="0.15">
      <c r="A23" s="16" t="s">
        <v>28</v>
      </c>
      <c r="B23" s="17">
        <v>0.20641300000000001</v>
      </c>
      <c r="C23" s="17">
        <v>0.219643</v>
      </c>
      <c r="D23" s="17">
        <v>0.226213</v>
      </c>
      <c r="E23" s="17">
        <v>0.230628</v>
      </c>
      <c r="F23" s="17">
        <v>0.22598299999999999</v>
      </c>
      <c r="G23" s="17">
        <v>0.23949999999999999</v>
      </c>
    </row>
    <row r="24" spans="1:7" x14ac:dyDescent="0.15">
      <c r="A24" s="14"/>
      <c r="B24" s="14"/>
      <c r="C24" s="14"/>
      <c r="D24" s="14"/>
      <c r="E24" s="14"/>
      <c r="F24" s="14"/>
      <c r="G24" s="14"/>
    </row>
    <row r="25" spans="1:7" x14ac:dyDescent="0.15">
      <c r="A25" s="14" t="s">
        <v>476</v>
      </c>
      <c r="B25" s="14">
        <f>'Cash Flow'!B34</f>
        <v>-260.10000000000002</v>
      </c>
      <c r="C25" s="14">
        <f>'Cash Flow'!C34</f>
        <v>-305.3</v>
      </c>
      <c r="D25" s="14">
        <f>'Cash Flow'!D34</f>
        <v>-327.9</v>
      </c>
      <c r="E25" s="14">
        <f>'Cash Flow'!E34</f>
        <v>-278.10000000000002</v>
      </c>
      <c r="F25" s="14">
        <f>'Cash Flow'!F34</f>
        <v>-184.1</v>
      </c>
      <c r="G25" s="14">
        <f>'Cash Flow'!G34</f>
        <v>-196.6</v>
      </c>
    </row>
    <row r="26" spans="1:7" x14ac:dyDescent="0.15">
      <c r="A26" s="14" t="s">
        <v>477</v>
      </c>
      <c r="B26" s="14">
        <f>-B38*'Income Statement'!B84</f>
        <v>-93.21635160000001</v>
      </c>
      <c r="C26" s="14">
        <f>-C38*'Income Statement'!C84</f>
        <v>-86.1620688</v>
      </c>
      <c r="D26" s="14">
        <f>-D38*'Income Statement'!D84</f>
        <v>-95.610151000000016</v>
      </c>
      <c r="E26" s="14">
        <f>-E38*'Income Statement'!E84</f>
        <v>-45.636900800000006</v>
      </c>
      <c r="F26" s="14">
        <f>-F38*'Income Statement'!F84</f>
        <v>-68.4899676</v>
      </c>
      <c r="G26" s="14">
        <f>-G38*'Income Statement'!G84</f>
        <v>-92.005032</v>
      </c>
    </row>
    <row r="27" spans="1:7" x14ac:dyDescent="0.15">
      <c r="A27" s="14" t="s">
        <v>479</v>
      </c>
      <c r="B27" s="145">
        <f>B22+B25+B26</f>
        <v>29.683648399999967</v>
      </c>
      <c r="C27" s="145">
        <f t="shared" ref="C27:G27" si="0">C22+C25+C26</f>
        <v>17.3379312</v>
      </c>
      <c r="D27" s="145">
        <f t="shared" si="0"/>
        <v>29.889848999999984</v>
      </c>
      <c r="E27" s="145">
        <f t="shared" si="0"/>
        <v>131.36309919999999</v>
      </c>
      <c r="F27" s="145">
        <f t="shared" si="0"/>
        <v>242.11003240000002</v>
      </c>
      <c r="G27" s="145">
        <f t="shared" si="0"/>
        <v>274.79496799999993</v>
      </c>
    </row>
    <row r="28" spans="1:7" x14ac:dyDescent="0.15">
      <c r="B28" s="14"/>
      <c r="C28" s="14"/>
      <c r="D28" s="14"/>
      <c r="E28" s="14"/>
      <c r="F28" s="14"/>
      <c r="G28" s="14"/>
    </row>
    <row r="29" spans="1:7" x14ac:dyDescent="0.15">
      <c r="A29" s="14" t="s">
        <v>478</v>
      </c>
      <c r="B29" s="145">
        <f>B27/('Balance Sheet'!B48+'Balance Sheet'!B49+'Balance Sheet'!B54-'Income Statement'!B35)</f>
        <v>6.9959105349988143E-2</v>
      </c>
      <c r="C29" s="145">
        <f>C27/('Balance Sheet'!C48+'Balance Sheet'!C49+'Balance Sheet'!C54-'Income Statement'!C35)</f>
        <v>2.9351500253936007E-2</v>
      </c>
      <c r="D29" s="145">
        <f>D27/('Balance Sheet'!D48+'Balance Sheet'!D49+'Balance Sheet'!D54-'Income Statement'!D35)</f>
        <v>4.2074674831081058E-2</v>
      </c>
      <c r="E29" s="145">
        <f>E27/('Balance Sheet'!E48+'Balance Sheet'!E49+'Balance Sheet'!E54-'Income Statement'!E35)</f>
        <v>0.15683273543457499</v>
      </c>
      <c r="F29" s="145">
        <f>F27/('Balance Sheet'!F48+'Balance Sheet'!F49+'Balance Sheet'!F54-'Income Statement'!F35)</f>
        <v>0.24359596780360196</v>
      </c>
      <c r="G29" s="145">
        <f>G27/('Balance Sheet'!G48+'Balance Sheet'!G49+'Balance Sheet'!G54-'Income Statement'!G35)</f>
        <v>0.23543091843728575</v>
      </c>
    </row>
    <row r="30" spans="1:7" x14ac:dyDescent="0.15">
      <c r="A30" s="14"/>
      <c r="B30" s="145">
        <f>-'Income Statement'!B35/('Balance Sheet'!B54+'Balance Sheet'!B48+'Balance Sheet'!B49)+-'Cash Flow'!B46/('Balance Sheet'!B49+'Balance Sheet'!B54)</f>
        <v>1.3413855855803711</v>
      </c>
      <c r="C30" s="145">
        <f>-'Income Statement'!C35/('Balance Sheet'!C54+'Balance Sheet'!C48+'Balance Sheet'!C49)+-'Cash Flow'!C46/('Balance Sheet'!C49+'Balance Sheet'!C54)</f>
        <v>0.26088464874241107</v>
      </c>
      <c r="D30" s="145">
        <f>-'Income Statement'!D35/('Balance Sheet'!D54+'Balance Sheet'!D48+'Balance Sheet'!D49)+-'Cash Flow'!D46/('Balance Sheet'!D49+'Balance Sheet'!D54)</f>
        <v>0.73674269940432957</v>
      </c>
      <c r="E30" s="145">
        <f>-'Income Statement'!E35/('Balance Sheet'!E54+'Balance Sheet'!E48+'Balance Sheet'!E49)+-'Cash Flow'!E46/('Balance Sheet'!E49+'Balance Sheet'!E54)</f>
        <v>0.99481609479140964</v>
      </c>
      <c r="F30" s="145">
        <f>-'Income Statement'!F35/('Balance Sheet'!F54+'Balance Sheet'!F48+'Balance Sheet'!F49)+-'Cash Flow'!F46/('Balance Sheet'!F49+'Balance Sheet'!F54)</f>
        <v>0.67151223593390497</v>
      </c>
      <c r="G30" s="145">
        <f>-'Income Statement'!G35/('Balance Sheet'!G54+'Balance Sheet'!G48+'Balance Sheet'!G49)+-'Cash Flow'!G46/('Balance Sheet'!G49+'Balance Sheet'!G54)</f>
        <v>4.0377930296817889E-2</v>
      </c>
    </row>
    <row r="31" spans="1:7" x14ac:dyDescent="0.15">
      <c r="A31" s="14"/>
      <c r="B31" s="145"/>
      <c r="C31" s="145"/>
      <c r="D31" s="145"/>
      <c r="E31" s="145"/>
      <c r="F31" s="145"/>
      <c r="G31" s="145"/>
    </row>
    <row r="32" spans="1:7" x14ac:dyDescent="0.15">
      <c r="A32" s="14" t="s">
        <v>480</v>
      </c>
      <c r="B32" s="240">
        <f>'Cash Flow'!B32+'Cash Flow'!B34-'Income Statement'!B35</f>
        <v>65.899999999999977</v>
      </c>
      <c r="C32" s="240">
        <f>'Cash Flow'!C32+'Cash Flow'!C34-'Income Statement'!C35</f>
        <v>9.8999999999999879</v>
      </c>
      <c r="D32" s="240">
        <f>'Cash Flow'!D32+'Cash Flow'!D34-'Income Statement'!D35</f>
        <v>95.6</v>
      </c>
      <c r="E32" s="240">
        <f>'Cash Flow'!E32+'Cash Flow'!E34-'Income Statement'!E35</f>
        <v>177.99999999999997</v>
      </c>
      <c r="F32" s="240">
        <f>'Cash Flow'!F32+'Cash Flow'!F34-'Income Statement'!F35</f>
        <v>275</v>
      </c>
      <c r="G32" s="240">
        <f>'Cash Flow'!G32+'Cash Flow'!G34-'Income Statement'!G35</f>
        <v>269</v>
      </c>
    </row>
    <row r="33" spans="1:7" x14ac:dyDescent="0.15">
      <c r="A33" s="14" t="s">
        <v>481</v>
      </c>
      <c r="B33" s="239">
        <f>B32/B22</f>
        <v>0.17206266318537852</v>
      </c>
      <c r="C33" s="239">
        <f t="shared" ref="C33:G33" si="1">C32/C22</f>
        <v>2.4217221135029325E-2</v>
      </c>
      <c r="D33" s="239">
        <f t="shared" si="1"/>
        <v>0.21085134539038378</v>
      </c>
      <c r="E33" s="239">
        <f t="shared" si="1"/>
        <v>0.39112283014722032</v>
      </c>
      <c r="F33" s="239">
        <f t="shared" si="1"/>
        <v>0.55589246007681425</v>
      </c>
      <c r="G33" s="239">
        <f t="shared" si="1"/>
        <v>0.4774582889598864</v>
      </c>
    </row>
    <row r="34" spans="1:7" x14ac:dyDescent="0.15">
      <c r="A34" s="14"/>
      <c r="B34" s="241">
        <f t="shared" ref="B34:F34" si="2">B33/B29/B30</f>
        <v>1.8335331168125704</v>
      </c>
      <c r="C34" s="241">
        <f t="shared" si="2"/>
        <v>3.1626088248503126</v>
      </c>
      <c r="D34" s="241">
        <f t="shared" si="2"/>
        <v>6.8020491735631241</v>
      </c>
      <c r="E34" s="241">
        <f t="shared" si="2"/>
        <v>2.5068805826682938</v>
      </c>
      <c r="F34" s="241">
        <f t="shared" si="2"/>
        <v>3.3983394546899346</v>
      </c>
      <c r="G34" s="241">
        <f>G33/G29/G30</f>
        <v>50.225918374922564</v>
      </c>
    </row>
    <row r="35" spans="1:7" x14ac:dyDescent="0.15">
      <c r="A35" s="14"/>
      <c r="B35" s="239"/>
      <c r="C35" s="239"/>
      <c r="D35" s="239"/>
      <c r="E35" s="239"/>
      <c r="F35" s="239"/>
      <c r="G35" s="239"/>
    </row>
    <row r="36" spans="1:7" x14ac:dyDescent="0.15">
      <c r="A36" s="14"/>
      <c r="B36" s="239"/>
      <c r="C36" s="239"/>
      <c r="D36" s="239"/>
      <c r="E36" s="239"/>
      <c r="F36" s="239"/>
      <c r="G36" s="239"/>
    </row>
    <row r="37" spans="1:7" x14ac:dyDescent="0.15">
      <c r="A37" s="14"/>
      <c r="B37" s="239"/>
      <c r="C37" s="239"/>
      <c r="D37" s="239"/>
      <c r="E37" s="239"/>
      <c r="F37" s="239"/>
      <c r="G37" s="239"/>
    </row>
    <row r="38" spans="1:7" x14ac:dyDescent="0.15">
      <c r="A38" s="13" t="s">
        <v>30</v>
      </c>
      <c r="B38" s="15">
        <v>311.8</v>
      </c>
      <c r="C38" s="15">
        <v>332.4</v>
      </c>
      <c r="D38" s="15">
        <v>360.1</v>
      </c>
      <c r="E38" s="15">
        <v>350.6</v>
      </c>
      <c r="F38" s="15">
        <v>371.6</v>
      </c>
      <c r="G38" s="15">
        <v>424</v>
      </c>
    </row>
    <row r="39" spans="1:7" x14ac:dyDescent="0.15">
      <c r="A39" s="16" t="s">
        <v>28</v>
      </c>
      <c r="B39" s="17">
        <v>0.16803999999999999</v>
      </c>
      <c r="C39" s="17">
        <v>0.178594</v>
      </c>
      <c r="D39" s="17">
        <v>0.17966299999999999</v>
      </c>
      <c r="E39" s="17">
        <v>0.177671</v>
      </c>
      <c r="F39" s="17">
        <v>0.16975000000000001</v>
      </c>
      <c r="G39" s="17">
        <v>0.18024100000000001</v>
      </c>
    </row>
    <row r="40" spans="1:7" x14ac:dyDescent="0.15">
      <c r="A40" s="14"/>
      <c r="B40" s="14"/>
      <c r="C40" s="14"/>
      <c r="D40" s="14"/>
      <c r="E40" s="14"/>
      <c r="F40" s="14"/>
      <c r="G40" s="14"/>
    </row>
    <row r="41" spans="1:7" x14ac:dyDescent="0.15">
      <c r="A41" s="13" t="s">
        <v>31</v>
      </c>
      <c r="B41" s="15">
        <v>209.4</v>
      </c>
      <c r="C41" s="15">
        <v>237.2</v>
      </c>
      <c r="D41" s="15">
        <v>249.8</v>
      </c>
      <c r="E41" s="15">
        <v>284</v>
      </c>
      <c r="F41" s="15">
        <v>276.60000000000002</v>
      </c>
      <c r="G41" s="15">
        <v>299.5</v>
      </c>
    </row>
    <row r="42" spans="1:7" x14ac:dyDescent="0.15">
      <c r="A42" s="16" t="s">
        <v>28</v>
      </c>
      <c r="B42" s="17">
        <v>0.11285299999999999</v>
      </c>
      <c r="C42" s="17">
        <v>0.127444</v>
      </c>
      <c r="D42" s="17">
        <v>0.12463200000000001</v>
      </c>
      <c r="E42" s="17">
        <v>0.14392099999999999</v>
      </c>
      <c r="F42" s="17">
        <v>0.12635299999999999</v>
      </c>
      <c r="G42" s="17">
        <v>0.12731600000000001</v>
      </c>
    </row>
    <row r="43" spans="1:7" x14ac:dyDescent="0.15">
      <c r="A43" s="14"/>
      <c r="B43" s="14"/>
      <c r="C43" s="14"/>
      <c r="D43" s="14"/>
      <c r="E43" s="14"/>
      <c r="F43" s="14"/>
      <c r="G43" s="14"/>
    </row>
    <row r="44" spans="1:7" x14ac:dyDescent="0.15">
      <c r="A44" s="13" t="s">
        <v>32</v>
      </c>
      <c r="B44" s="15">
        <v>209.4</v>
      </c>
      <c r="C44" s="15">
        <v>237.2</v>
      </c>
      <c r="D44" s="15">
        <v>249.8</v>
      </c>
      <c r="E44" s="15">
        <v>284</v>
      </c>
      <c r="F44" s="15">
        <v>276.60000000000002</v>
      </c>
      <c r="G44" s="15">
        <v>299.5</v>
      </c>
    </row>
    <row r="45" spans="1:7" x14ac:dyDescent="0.15">
      <c r="A45" s="16" t="s">
        <v>28</v>
      </c>
      <c r="B45" s="17">
        <v>0.11285299999999999</v>
      </c>
      <c r="C45" s="17">
        <v>0.127444</v>
      </c>
      <c r="D45" s="17">
        <v>0.12463200000000001</v>
      </c>
      <c r="E45" s="17">
        <v>0.14392099999999999</v>
      </c>
      <c r="F45" s="17">
        <v>0.12635299999999999</v>
      </c>
      <c r="G45" s="17">
        <v>0.12731600000000001</v>
      </c>
    </row>
    <row r="46" spans="1:7" x14ac:dyDescent="0.15">
      <c r="A46" s="14"/>
      <c r="B46" s="14"/>
      <c r="C46" s="14"/>
      <c r="D46" s="14"/>
      <c r="E46" s="14"/>
      <c r="F46" s="14"/>
      <c r="G46" s="14"/>
    </row>
    <row r="47" spans="1:7" x14ac:dyDescent="0.15">
      <c r="A47" s="13" t="s">
        <v>33</v>
      </c>
      <c r="B47" s="18">
        <v>2.12</v>
      </c>
      <c r="C47" s="18">
        <v>2.44</v>
      </c>
      <c r="D47" s="18">
        <v>2.65</v>
      </c>
      <c r="E47" s="18">
        <v>3.09</v>
      </c>
      <c r="F47" s="18">
        <v>3.11</v>
      </c>
      <c r="G47" s="18">
        <v>3.4684349999999999</v>
      </c>
    </row>
    <row r="48" spans="1:7" x14ac:dyDescent="0.15">
      <c r="A48" s="16" t="s">
        <v>26</v>
      </c>
      <c r="B48" s="17">
        <v>0.152173</v>
      </c>
      <c r="C48" s="17">
        <v>0.15094299999999999</v>
      </c>
      <c r="D48" s="17">
        <v>8.6065000000000003E-2</v>
      </c>
      <c r="E48" s="17">
        <v>0.16603699999999999</v>
      </c>
      <c r="F48" s="17">
        <v>6.4720000000000003E-3</v>
      </c>
      <c r="G48" s="17">
        <v>4.6594999999999998E-2</v>
      </c>
    </row>
    <row r="49" spans="1:255" x14ac:dyDescent="0.15">
      <c r="A49" s="14"/>
      <c r="B49" s="14"/>
      <c r="C49" s="14"/>
      <c r="D49" s="14"/>
      <c r="E49" s="14"/>
      <c r="F49" s="14"/>
      <c r="G49" s="14"/>
    </row>
    <row r="50" spans="1:255" x14ac:dyDescent="0.15">
      <c r="A50" s="14"/>
      <c r="B50" s="14" t="s">
        <v>34</v>
      </c>
      <c r="C50" s="14" t="s">
        <v>34</v>
      </c>
      <c r="D50" s="14" t="s">
        <v>34</v>
      </c>
      <c r="E50" s="14" t="s">
        <v>34</v>
      </c>
      <c r="F50" s="14" t="s">
        <v>34</v>
      </c>
      <c r="G50" s="14" t="s">
        <v>34</v>
      </c>
    </row>
    <row r="51" spans="1:255" ht="12" x14ac:dyDescent="0.15">
      <c r="A51" s="14" t="s">
        <v>23</v>
      </c>
      <c r="B51" s="19" t="s">
        <v>24</v>
      </c>
      <c r="C51" s="19" t="s">
        <v>24</v>
      </c>
      <c r="D51" s="19" t="s">
        <v>24</v>
      </c>
      <c r="E51" s="19" t="s">
        <v>24</v>
      </c>
      <c r="F51" s="19" t="s">
        <v>24</v>
      </c>
      <c r="G51" s="19" t="s">
        <v>24</v>
      </c>
    </row>
    <row r="52" spans="1:255" x14ac:dyDescent="0.15">
      <c r="A52" s="14" t="s">
        <v>35</v>
      </c>
      <c r="B52" s="20">
        <v>1</v>
      </c>
      <c r="C52" s="20">
        <v>1</v>
      </c>
      <c r="D52" s="20">
        <v>1</v>
      </c>
      <c r="E52" s="20">
        <v>1</v>
      </c>
      <c r="F52" s="20">
        <v>1</v>
      </c>
      <c r="G52" s="20">
        <v>1</v>
      </c>
    </row>
    <row r="53" spans="1:255" ht="12" x14ac:dyDescent="0.15">
      <c r="A53" s="14" t="s">
        <v>36</v>
      </c>
      <c r="B53" s="19" t="s">
        <v>37</v>
      </c>
      <c r="C53" s="19" t="s">
        <v>37</v>
      </c>
      <c r="D53" s="19" t="s">
        <v>37</v>
      </c>
      <c r="E53" s="19" t="s">
        <v>37</v>
      </c>
      <c r="F53" s="19" t="s">
        <v>37</v>
      </c>
      <c r="G53" s="19" t="s">
        <v>37</v>
      </c>
    </row>
    <row r="54" spans="1:255" x14ac:dyDescent="0.15">
      <c r="A54" s="21"/>
      <c r="B54" s="21"/>
      <c r="C54" s="21"/>
      <c r="D54" s="21"/>
      <c r="E54" s="21"/>
      <c r="F54" s="21"/>
      <c r="G54" s="21"/>
    </row>
    <row r="55" spans="1:255" x14ac:dyDescent="0.15">
      <c r="A55" s="2" t="s">
        <v>38</v>
      </c>
    </row>
    <row r="56" spans="1:255" x14ac:dyDescent="0.15">
      <c r="A56" s="2" t="s">
        <v>39</v>
      </c>
    </row>
    <row r="58" spans="1:255" x14ac:dyDescent="0.15">
      <c r="A58" s="2" t="s">
        <v>40</v>
      </c>
    </row>
    <row r="60" spans="1:255" x14ac:dyDescent="0.15">
      <c r="A60" s="7" t="s">
        <v>41</v>
      </c>
      <c r="B60" s="7"/>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row>
    <row r="61" spans="1:255" ht="12" x14ac:dyDescent="0.15">
      <c r="A61" s="11" t="s">
        <v>23</v>
      </c>
      <c r="B61" s="12" t="s">
        <v>24</v>
      </c>
    </row>
    <row r="62" spans="1:255" x14ac:dyDescent="0.15">
      <c r="A62" s="14" t="s">
        <v>42</v>
      </c>
      <c r="B62" s="22">
        <v>73.64</v>
      </c>
      <c r="D62" s="2">
        <v>14.4</v>
      </c>
    </row>
    <row r="63" spans="1:255" x14ac:dyDescent="0.15">
      <c r="A63" s="14" t="s">
        <v>43</v>
      </c>
      <c r="B63" s="20">
        <v>84.378113999999997</v>
      </c>
    </row>
    <row r="64" spans="1:255" x14ac:dyDescent="0.15">
      <c r="A64" s="14"/>
      <c r="B64" s="14"/>
    </row>
    <row r="65" spans="1:4" x14ac:dyDescent="0.15">
      <c r="A65" s="13" t="s">
        <v>44</v>
      </c>
      <c r="B65" s="15">
        <v>6213.6043140000002</v>
      </c>
      <c r="D65" s="93">
        <v>0.3</v>
      </c>
    </row>
    <row r="66" spans="1:4" x14ac:dyDescent="0.15">
      <c r="A66" s="14" t="s">
        <v>45</v>
      </c>
      <c r="B66" s="20">
        <v>47</v>
      </c>
      <c r="D66" s="94">
        <f>B62*(1+D65)*B63</f>
        <v>8077.6856094479999</v>
      </c>
    </row>
    <row r="67" spans="1:4" x14ac:dyDescent="0.15">
      <c r="A67" s="14" t="s">
        <v>46</v>
      </c>
      <c r="B67" s="20">
        <v>1192</v>
      </c>
      <c r="D67" s="95">
        <f>-B66</f>
        <v>-47</v>
      </c>
    </row>
    <row r="68" spans="1:4" ht="12" x14ac:dyDescent="0.15">
      <c r="A68" s="14" t="s">
        <v>47</v>
      </c>
      <c r="B68" s="20" t="s">
        <v>48</v>
      </c>
      <c r="D68" s="95">
        <f>+B67</f>
        <v>1192</v>
      </c>
    </row>
    <row r="69" spans="1:4" ht="12" x14ac:dyDescent="0.15">
      <c r="A69" s="14" t="s">
        <v>49</v>
      </c>
      <c r="B69" s="20" t="s">
        <v>48</v>
      </c>
      <c r="D69" s="94">
        <f>SUM(D66:D68)</f>
        <v>9222.685609447999</v>
      </c>
    </row>
    <row r="70" spans="1:4" x14ac:dyDescent="0.15">
      <c r="A70" s="13" t="s">
        <v>50</v>
      </c>
      <c r="B70" s="15">
        <v>7358.6043140000002</v>
      </c>
      <c r="C70" s="96" t="s">
        <v>29</v>
      </c>
      <c r="D70" s="95">
        <f>G22</f>
        <v>563.4</v>
      </c>
    </row>
    <row r="71" spans="1:4" x14ac:dyDescent="0.15">
      <c r="A71" s="14"/>
      <c r="B71" s="14"/>
      <c r="D71" s="2">
        <f>D69/D70</f>
        <v>16.369694017479588</v>
      </c>
    </row>
    <row r="72" spans="1:4" x14ac:dyDescent="0.15">
      <c r="A72" s="14" t="s">
        <v>51</v>
      </c>
      <c r="B72" s="20">
        <v>1417.8</v>
      </c>
    </row>
    <row r="73" spans="1:4" ht="12" x14ac:dyDescent="0.15">
      <c r="A73" s="14" t="s">
        <v>47</v>
      </c>
      <c r="B73" s="20" t="s">
        <v>48</v>
      </c>
    </row>
    <row r="74" spans="1:4" ht="12" x14ac:dyDescent="0.15">
      <c r="A74" s="14" t="s">
        <v>49</v>
      </c>
      <c r="B74" s="20" t="s">
        <v>48</v>
      </c>
    </row>
    <row r="75" spans="1:4" x14ac:dyDescent="0.15">
      <c r="A75" s="14" t="s">
        <v>46</v>
      </c>
      <c r="B75" s="20">
        <v>1192</v>
      </c>
    </row>
    <row r="76" spans="1:4" x14ac:dyDescent="0.15">
      <c r="A76" s="13" t="s">
        <v>52</v>
      </c>
      <c r="B76" s="15">
        <v>2609.8000000000002</v>
      </c>
    </row>
    <row r="77" spans="1:4" x14ac:dyDescent="0.15">
      <c r="A77" s="14"/>
      <c r="B77" s="14"/>
    </row>
    <row r="78" spans="1:4" ht="84" x14ac:dyDescent="0.15">
      <c r="A78" s="21" t="s">
        <v>53</v>
      </c>
      <c r="B78" s="21"/>
    </row>
    <row r="80" spans="1:4" ht="200" customHeight="1" x14ac:dyDescent="0.15">
      <c r="A80" s="23"/>
    </row>
    <row r="82" spans="1:255" x14ac:dyDescent="0.15">
      <c r="A82" s="2" t="s">
        <v>54</v>
      </c>
    </row>
    <row r="83" spans="1:255" x14ac:dyDescent="0.15">
      <c r="A83" s="2" t="s">
        <v>55</v>
      </c>
    </row>
    <row r="84" spans="1:255" x14ac:dyDescent="0.15">
      <c r="A84" s="2" t="s">
        <v>56</v>
      </c>
    </row>
    <row r="85" spans="1:255" x14ac:dyDescent="0.15">
      <c r="A85" s="2" t="s">
        <v>57</v>
      </c>
    </row>
    <row r="87" spans="1:255" x14ac:dyDescent="0.15">
      <c r="A87" s="7" t="s">
        <v>58</v>
      </c>
      <c r="B87" s="7"/>
      <c r="C87" s="7"/>
      <c r="D87" s="7"/>
      <c r="E87" s="7"/>
      <c r="F87" s="7"/>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c r="HR87" s="8"/>
      <c r="HS87" s="8"/>
      <c r="HT87" s="8"/>
      <c r="HU87" s="8"/>
      <c r="HV87" s="8"/>
      <c r="HW87" s="8"/>
      <c r="HX87" s="8"/>
      <c r="HY87" s="8"/>
      <c r="HZ87" s="8"/>
      <c r="IA87" s="8"/>
      <c r="IB87" s="8"/>
      <c r="IC87" s="8"/>
      <c r="ID87" s="8"/>
      <c r="IE87" s="8"/>
      <c r="IF87" s="8"/>
      <c r="IG87" s="8"/>
      <c r="IH87" s="8"/>
      <c r="II87" s="8"/>
      <c r="IJ87" s="8"/>
      <c r="IK87" s="8"/>
      <c r="IL87" s="8"/>
      <c r="IM87" s="8"/>
      <c r="IN87" s="8"/>
      <c r="IO87" s="8"/>
      <c r="IP87" s="8"/>
      <c r="IQ87" s="8"/>
      <c r="IR87" s="8"/>
      <c r="IS87" s="8"/>
      <c r="IT87" s="8"/>
      <c r="IU87" s="8"/>
    </row>
    <row r="88" spans="1:255" ht="36" x14ac:dyDescent="0.15">
      <c r="A88" s="9" t="s">
        <v>16</v>
      </c>
      <c r="B88" s="10" t="s">
        <v>18</v>
      </c>
      <c r="C88" s="10" t="s">
        <v>19</v>
      </c>
      <c r="D88" s="10" t="s">
        <v>20</v>
      </c>
      <c r="E88" s="10" t="s">
        <v>21</v>
      </c>
      <c r="F88" s="10" t="s">
        <v>59</v>
      </c>
    </row>
    <row r="89" spans="1:255" x14ac:dyDescent="0.15">
      <c r="A89" s="13" t="s">
        <v>60</v>
      </c>
      <c r="B89" s="24">
        <v>3.9536880000000001</v>
      </c>
      <c r="C89" s="24">
        <v>3.671408</v>
      </c>
      <c r="D89" s="24">
        <v>3.729085</v>
      </c>
      <c r="E89" s="24">
        <v>3.2607940000000002</v>
      </c>
      <c r="F89" s="24">
        <v>3.128126</v>
      </c>
    </row>
    <row r="90" spans="1:255" x14ac:dyDescent="0.15">
      <c r="A90" s="14"/>
      <c r="B90" s="14"/>
      <c r="C90" s="14"/>
      <c r="D90" s="14"/>
      <c r="E90" s="14"/>
      <c r="F90" s="14"/>
    </row>
    <row r="91" spans="1:255" x14ac:dyDescent="0.15">
      <c r="A91" s="13" t="s">
        <v>61</v>
      </c>
      <c r="B91" s="24">
        <v>17.912863000000002</v>
      </c>
      <c r="C91" s="24">
        <v>16.140829</v>
      </c>
      <c r="D91" s="24">
        <v>16.052800999999999</v>
      </c>
      <c r="E91" s="24">
        <v>14.267847</v>
      </c>
      <c r="F91" s="24">
        <v>12.964418999999999</v>
      </c>
    </row>
    <row r="92" spans="1:255" x14ac:dyDescent="0.15">
      <c r="A92" s="14"/>
      <c r="B92" s="14"/>
      <c r="C92" s="14"/>
      <c r="D92" s="14"/>
      <c r="E92" s="14"/>
      <c r="F92" s="14"/>
    </row>
    <row r="93" spans="1:255" x14ac:dyDescent="0.15">
      <c r="A93" s="13" t="s">
        <v>62</v>
      </c>
      <c r="B93" s="24">
        <v>22.005395</v>
      </c>
      <c r="C93" s="24">
        <v>20.293998999999999</v>
      </c>
      <c r="D93" s="24">
        <v>20.792891000000001</v>
      </c>
      <c r="E93" s="24">
        <v>18.924188999999998</v>
      </c>
      <c r="F93" s="24">
        <v>17.18497</v>
      </c>
    </row>
    <row r="94" spans="1:255" x14ac:dyDescent="0.15">
      <c r="A94" s="14"/>
      <c r="B94" s="14"/>
      <c r="C94" s="14"/>
      <c r="D94" s="14"/>
      <c r="E94" s="14"/>
      <c r="F94" s="14"/>
    </row>
    <row r="95" spans="1:255" x14ac:dyDescent="0.15">
      <c r="A95" s="13" t="s">
        <v>63</v>
      </c>
      <c r="B95" s="24">
        <v>30.180326999999998</v>
      </c>
      <c r="C95" s="24">
        <v>27.788678999999998</v>
      </c>
      <c r="D95" s="24">
        <v>23.831714999999999</v>
      </c>
      <c r="E95" s="24">
        <v>23.678456000000001</v>
      </c>
      <c r="F95" s="24">
        <v>21.231477000000002</v>
      </c>
    </row>
    <row r="96" spans="1:255" x14ac:dyDescent="0.15">
      <c r="A96" s="14"/>
      <c r="B96" s="14"/>
      <c r="C96" s="14"/>
      <c r="D96" s="14"/>
      <c r="E96" s="14"/>
      <c r="F96" s="14"/>
    </row>
    <row r="97" spans="1:6" x14ac:dyDescent="0.15">
      <c r="A97" s="13" t="s">
        <v>64</v>
      </c>
      <c r="B97" s="24">
        <v>5.8370119999999996</v>
      </c>
      <c r="C97" s="24">
        <v>5.4066150000000004</v>
      </c>
      <c r="D97" s="24">
        <v>4.4131790000000004</v>
      </c>
      <c r="E97" s="24">
        <v>4.7236549999999999</v>
      </c>
      <c r="F97" s="24">
        <v>4.3940919999999997</v>
      </c>
    </row>
    <row r="98" spans="1:6" x14ac:dyDescent="0.15">
      <c r="A98" s="14"/>
      <c r="B98" s="14"/>
      <c r="C98" s="14"/>
      <c r="D98" s="14"/>
      <c r="E98" s="14"/>
      <c r="F98" s="14"/>
    </row>
    <row r="99" spans="1:6" x14ac:dyDescent="0.15">
      <c r="A99" s="13" t="s">
        <v>65</v>
      </c>
      <c r="B99" s="24">
        <v>6.1437850000000003</v>
      </c>
      <c r="C99" s="24">
        <v>5.7394860000000003</v>
      </c>
      <c r="D99" s="24">
        <v>4.900582</v>
      </c>
      <c r="E99" s="24">
        <v>5.2934400000000004</v>
      </c>
      <c r="F99" s="24">
        <v>5.4725440000000001</v>
      </c>
    </row>
    <row r="100" spans="1:6" x14ac:dyDescent="0.15">
      <c r="A100" s="14"/>
      <c r="B100" s="14"/>
      <c r="C100" s="14"/>
      <c r="D100" s="14"/>
      <c r="E100" s="14"/>
      <c r="F100" s="14"/>
    </row>
    <row r="101" spans="1:6" x14ac:dyDescent="0.15">
      <c r="A101" s="21"/>
      <c r="B101" s="21"/>
      <c r="C101" s="21"/>
      <c r="D101" s="21"/>
      <c r="E101" s="21"/>
      <c r="F101" s="21"/>
    </row>
    <row r="102" spans="1:6" x14ac:dyDescent="0.15">
      <c r="A102" s="25" t="s">
        <v>66</v>
      </c>
    </row>
  </sheetData>
  <pageMargins left="0.2" right="0.2" top="0.5" bottom="0.5" header="0.5" footer="0.5"/>
  <pageSetup fitToWidth="0" fitToHeight="0" orientation="landscape" horizontalDpi="0" verticalDpi="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2D9F8-6A13-49A2-88CC-D00EFA49D4EB}">
  <sheetPr>
    <outlinePr summaryBelow="0" summaryRight="0"/>
    <pageSetUpPr autoPageBreaks="0"/>
  </sheetPr>
  <dimension ref="A5:IU110"/>
  <sheetViews>
    <sheetView topLeftCell="A23" workbookViewId="0">
      <selection activeCell="A27" sqref="A27"/>
    </sheetView>
  </sheetViews>
  <sheetFormatPr baseColWidth="10" defaultColWidth="8.75" defaultRowHeight="11" x14ac:dyDescent="0.15"/>
  <cols>
    <col min="1" max="1" width="53.5" style="2" customWidth="1"/>
    <col min="2" max="7" width="17.25" style="2" customWidth="1"/>
    <col min="8" max="256" width="9.25" style="2"/>
    <col min="257" max="257" width="53.5" style="2" customWidth="1"/>
    <col min="258" max="263" width="17.25" style="2" customWidth="1"/>
    <col min="264" max="512" width="9.25" style="2"/>
    <col min="513" max="513" width="53.5" style="2" customWidth="1"/>
    <col min="514" max="519" width="17.25" style="2" customWidth="1"/>
    <col min="520" max="768" width="9.25" style="2"/>
    <col min="769" max="769" width="53.5" style="2" customWidth="1"/>
    <col min="770" max="775" width="17.25" style="2" customWidth="1"/>
    <col min="776" max="1024" width="9.25" style="2"/>
    <col min="1025" max="1025" width="53.5" style="2" customWidth="1"/>
    <col min="1026" max="1031" width="17.25" style="2" customWidth="1"/>
    <col min="1032" max="1280" width="9.25" style="2"/>
    <col min="1281" max="1281" width="53.5" style="2" customWidth="1"/>
    <col min="1282" max="1287" width="17.25" style="2" customWidth="1"/>
    <col min="1288" max="1536" width="9.25" style="2"/>
    <col min="1537" max="1537" width="53.5" style="2" customWidth="1"/>
    <col min="1538" max="1543" width="17.25" style="2" customWidth="1"/>
    <col min="1544" max="1792" width="9.25" style="2"/>
    <col min="1793" max="1793" width="53.5" style="2" customWidth="1"/>
    <col min="1794" max="1799" width="17.25" style="2" customWidth="1"/>
    <col min="1800" max="2048" width="9.25" style="2"/>
    <col min="2049" max="2049" width="53.5" style="2" customWidth="1"/>
    <col min="2050" max="2055" width="17.25" style="2" customWidth="1"/>
    <col min="2056" max="2304" width="9.25" style="2"/>
    <col min="2305" max="2305" width="53.5" style="2" customWidth="1"/>
    <col min="2306" max="2311" width="17.25" style="2" customWidth="1"/>
    <col min="2312" max="2560" width="9.25" style="2"/>
    <col min="2561" max="2561" width="53.5" style="2" customWidth="1"/>
    <col min="2562" max="2567" width="17.25" style="2" customWidth="1"/>
    <col min="2568" max="2816" width="9.25" style="2"/>
    <col min="2817" max="2817" width="53.5" style="2" customWidth="1"/>
    <col min="2818" max="2823" width="17.25" style="2" customWidth="1"/>
    <col min="2824" max="3072" width="9.25" style="2"/>
    <col min="3073" max="3073" width="53.5" style="2" customWidth="1"/>
    <col min="3074" max="3079" width="17.25" style="2" customWidth="1"/>
    <col min="3080" max="3328" width="9.25" style="2"/>
    <col min="3329" max="3329" width="53.5" style="2" customWidth="1"/>
    <col min="3330" max="3335" width="17.25" style="2" customWidth="1"/>
    <col min="3336" max="3584" width="9.25" style="2"/>
    <col min="3585" max="3585" width="53.5" style="2" customWidth="1"/>
    <col min="3586" max="3591" width="17.25" style="2" customWidth="1"/>
    <col min="3592" max="3840" width="9.25" style="2"/>
    <col min="3841" max="3841" width="53.5" style="2" customWidth="1"/>
    <col min="3842" max="3847" width="17.25" style="2" customWidth="1"/>
    <col min="3848" max="4096" width="9.25" style="2"/>
    <col min="4097" max="4097" width="53.5" style="2" customWidth="1"/>
    <col min="4098" max="4103" width="17.25" style="2" customWidth="1"/>
    <col min="4104" max="4352" width="9.25" style="2"/>
    <col min="4353" max="4353" width="53.5" style="2" customWidth="1"/>
    <col min="4354" max="4359" width="17.25" style="2" customWidth="1"/>
    <col min="4360" max="4608" width="9.25" style="2"/>
    <col min="4609" max="4609" width="53.5" style="2" customWidth="1"/>
    <col min="4610" max="4615" width="17.25" style="2" customWidth="1"/>
    <col min="4616" max="4864" width="9.25" style="2"/>
    <col min="4865" max="4865" width="53.5" style="2" customWidth="1"/>
    <col min="4866" max="4871" width="17.25" style="2" customWidth="1"/>
    <col min="4872" max="5120" width="9.25" style="2"/>
    <col min="5121" max="5121" width="53.5" style="2" customWidth="1"/>
    <col min="5122" max="5127" width="17.25" style="2" customWidth="1"/>
    <col min="5128" max="5376" width="9.25" style="2"/>
    <col min="5377" max="5377" width="53.5" style="2" customWidth="1"/>
    <col min="5378" max="5383" width="17.25" style="2" customWidth="1"/>
    <col min="5384" max="5632" width="9.25" style="2"/>
    <col min="5633" max="5633" width="53.5" style="2" customWidth="1"/>
    <col min="5634" max="5639" width="17.25" style="2" customWidth="1"/>
    <col min="5640" max="5888" width="9.25" style="2"/>
    <col min="5889" max="5889" width="53.5" style="2" customWidth="1"/>
    <col min="5890" max="5895" width="17.25" style="2" customWidth="1"/>
    <col min="5896" max="6144" width="9.25" style="2"/>
    <col min="6145" max="6145" width="53.5" style="2" customWidth="1"/>
    <col min="6146" max="6151" width="17.25" style="2" customWidth="1"/>
    <col min="6152" max="6400" width="9.25" style="2"/>
    <col min="6401" max="6401" width="53.5" style="2" customWidth="1"/>
    <col min="6402" max="6407" width="17.25" style="2" customWidth="1"/>
    <col min="6408" max="6656" width="9.25" style="2"/>
    <col min="6657" max="6657" width="53.5" style="2" customWidth="1"/>
    <col min="6658" max="6663" width="17.25" style="2" customWidth="1"/>
    <col min="6664" max="6912" width="9.25" style="2"/>
    <col min="6913" max="6913" width="53.5" style="2" customWidth="1"/>
    <col min="6914" max="6919" width="17.25" style="2" customWidth="1"/>
    <col min="6920" max="7168" width="9.25" style="2"/>
    <col min="7169" max="7169" width="53.5" style="2" customWidth="1"/>
    <col min="7170" max="7175" width="17.25" style="2" customWidth="1"/>
    <col min="7176" max="7424" width="9.25" style="2"/>
    <col min="7425" max="7425" width="53.5" style="2" customWidth="1"/>
    <col min="7426" max="7431" width="17.25" style="2" customWidth="1"/>
    <col min="7432" max="7680" width="9.25" style="2"/>
    <col min="7681" max="7681" width="53.5" style="2" customWidth="1"/>
    <col min="7682" max="7687" width="17.25" style="2" customWidth="1"/>
    <col min="7688" max="7936" width="9.25" style="2"/>
    <col min="7937" max="7937" width="53.5" style="2" customWidth="1"/>
    <col min="7938" max="7943" width="17.25" style="2" customWidth="1"/>
    <col min="7944" max="8192" width="9.25" style="2"/>
    <col min="8193" max="8193" width="53.5" style="2" customWidth="1"/>
    <col min="8194" max="8199" width="17.25" style="2" customWidth="1"/>
    <col min="8200" max="8448" width="9.25" style="2"/>
    <col min="8449" max="8449" width="53.5" style="2" customWidth="1"/>
    <col min="8450" max="8455" width="17.25" style="2" customWidth="1"/>
    <col min="8456" max="8704" width="9.25" style="2"/>
    <col min="8705" max="8705" width="53.5" style="2" customWidth="1"/>
    <col min="8706" max="8711" width="17.25" style="2" customWidth="1"/>
    <col min="8712" max="8960" width="9.25" style="2"/>
    <col min="8961" max="8961" width="53.5" style="2" customWidth="1"/>
    <col min="8962" max="8967" width="17.25" style="2" customWidth="1"/>
    <col min="8968" max="9216" width="9.25" style="2"/>
    <col min="9217" max="9217" width="53.5" style="2" customWidth="1"/>
    <col min="9218" max="9223" width="17.25" style="2" customWidth="1"/>
    <col min="9224" max="9472" width="9.25" style="2"/>
    <col min="9473" max="9473" width="53.5" style="2" customWidth="1"/>
    <col min="9474" max="9479" width="17.25" style="2" customWidth="1"/>
    <col min="9480" max="9728" width="9.25" style="2"/>
    <col min="9729" max="9729" width="53.5" style="2" customWidth="1"/>
    <col min="9730" max="9735" width="17.25" style="2" customWidth="1"/>
    <col min="9736" max="9984" width="9.25" style="2"/>
    <col min="9985" max="9985" width="53.5" style="2" customWidth="1"/>
    <col min="9986" max="9991" width="17.25" style="2" customWidth="1"/>
    <col min="9992" max="10240" width="9.25" style="2"/>
    <col min="10241" max="10241" width="53.5" style="2" customWidth="1"/>
    <col min="10242" max="10247" width="17.25" style="2" customWidth="1"/>
    <col min="10248" max="10496" width="9.25" style="2"/>
    <col min="10497" max="10497" width="53.5" style="2" customWidth="1"/>
    <col min="10498" max="10503" width="17.25" style="2" customWidth="1"/>
    <col min="10504" max="10752" width="9.25" style="2"/>
    <col min="10753" max="10753" width="53.5" style="2" customWidth="1"/>
    <col min="10754" max="10759" width="17.25" style="2" customWidth="1"/>
    <col min="10760" max="11008" width="9.25" style="2"/>
    <col min="11009" max="11009" width="53.5" style="2" customWidth="1"/>
    <col min="11010" max="11015" width="17.25" style="2" customWidth="1"/>
    <col min="11016" max="11264" width="9.25" style="2"/>
    <col min="11265" max="11265" width="53.5" style="2" customWidth="1"/>
    <col min="11266" max="11271" width="17.25" style="2" customWidth="1"/>
    <col min="11272" max="11520" width="9.25" style="2"/>
    <col min="11521" max="11521" width="53.5" style="2" customWidth="1"/>
    <col min="11522" max="11527" width="17.25" style="2" customWidth="1"/>
    <col min="11528" max="11776" width="9.25" style="2"/>
    <col min="11777" max="11777" width="53.5" style="2" customWidth="1"/>
    <col min="11778" max="11783" width="17.25" style="2" customWidth="1"/>
    <col min="11784" max="12032" width="9.25" style="2"/>
    <col min="12033" max="12033" width="53.5" style="2" customWidth="1"/>
    <col min="12034" max="12039" width="17.25" style="2" customWidth="1"/>
    <col min="12040" max="12288" width="9.25" style="2"/>
    <col min="12289" max="12289" width="53.5" style="2" customWidth="1"/>
    <col min="12290" max="12295" width="17.25" style="2" customWidth="1"/>
    <col min="12296" max="12544" width="9.25" style="2"/>
    <col min="12545" max="12545" width="53.5" style="2" customWidth="1"/>
    <col min="12546" max="12551" width="17.25" style="2" customWidth="1"/>
    <col min="12552" max="12800" width="9.25" style="2"/>
    <col min="12801" max="12801" width="53.5" style="2" customWidth="1"/>
    <col min="12802" max="12807" width="17.25" style="2" customWidth="1"/>
    <col min="12808" max="13056" width="9.25" style="2"/>
    <col min="13057" max="13057" width="53.5" style="2" customWidth="1"/>
    <col min="13058" max="13063" width="17.25" style="2" customWidth="1"/>
    <col min="13064" max="13312" width="9.25" style="2"/>
    <col min="13313" max="13313" width="53.5" style="2" customWidth="1"/>
    <col min="13314" max="13319" width="17.25" style="2" customWidth="1"/>
    <col min="13320" max="13568" width="9.25" style="2"/>
    <col min="13569" max="13569" width="53.5" style="2" customWidth="1"/>
    <col min="13570" max="13575" width="17.25" style="2" customWidth="1"/>
    <col min="13576" max="13824" width="9.25" style="2"/>
    <col min="13825" max="13825" width="53.5" style="2" customWidth="1"/>
    <col min="13826" max="13831" width="17.25" style="2" customWidth="1"/>
    <col min="13832" max="14080" width="9.25" style="2"/>
    <col min="14081" max="14081" width="53.5" style="2" customWidth="1"/>
    <col min="14082" max="14087" width="17.25" style="2" customWidth="1"/>
    <col min="14088" max="14336" width="9.25" style="2"/>
    <col min="14337" max="14337" width="53.5" style="2" customWidth="1"/>
    <col min="14338" max="14343" width="17.25" style="2" customWidth="1"/>
    <col min="14344" max="14592" width="9.25" style="2"/>
    <col min="14593" max="14593" width="53.5" style="2" customWidth="1"/>
    <col min="14594" max="14599" width="17.25" style="2" customWidth="1"/>
    <col min="14600" max="14848" width="9.25" style="2"/>
    <col min="14849" max="14849" width="53.5" style="2" customWidth="1"/>
    <col min="14850" max="14855" width="17.25" style="2" customWidth="1"/>
    <col min="14856" max="15104" width="9.25" style="2"/>
    <col min="15105" max="15105" width="53.5" style="2" customWidth="1"/>
    <col min="15106" max="15111" width="17.25" style="2" customWidth="1"/>
    <col min="15112" max="15360" width="9.25" style="2"/>
    <col min="15361" max="15361" width="53.5" style="2" customWidth="1"/>
    <col min="15362" max="15367" width="17.25" style="2" customWidth="1"/>
    <col min="15368" max="15616" width="9.25" style="2"/>
    <col min="15617" max="15617" width="53.5" style="2" customWidth="1"/>
    <col min="15618" max="15623" width="17.25" style="2" customWidth="1"/>
    <col min="15624" max="15872" width="9.25" style="2"/>
    <col min="15873" max="15873" width="53.5" style="2" customWidth="1"/>
    <col min="15874" max="15879" width="17.25" style="2" customWidth="1"/>
    <col min="15880" max="16128" width="9.25" style="2"/>
    <col min="16129" max="16129" width="53.5" style="2" customWidth="1"/>
    <col min="16130" max="16135" width="17.25" style="2" customWidth="1"/>
    <col min="16136" max="16384" width="9.25" style="2"/>
  </cols>
  <sheetData>
    <row r="5" spans="1:255" ht="17" x14ac:dyDescent="0.2">
      <c r="A5" s="1" t="s">
        <v>67</v>
      </c>
    </row>
    <row r="7" spans="1:255" ht="12" x14ac:dyDescent="0.15">
      <c r="A7" s="3" t="s">
        <v>68</v>
      </c>
      <c r="B7" s="4" t="s">
        <v>69</v>
      </c>
      <c r="C7" s="2" t="s">
        <v>70</v>
      </c>
      <c r="D7" s="5" t="s">
        <v>4</v>
      </c>
      <c r="E7" s="4" t="s">
        <v>71</v>
      </c>
      <c r="F7" s="2" t="s">
        <v>72</v>
      </c>
    </row>
    <row r="8" spans="1:255" x14ac:dyDescent="0.15">
      <c r="A8" s="5"/>
      <c r="B8" s="4" t="s">
        <v>73</v>
      </c>
      <c r="C8" s="2" t="s">
        <v>74</v>
      </c>
      <c r="D8" s="5" t="s">
        <v>4</v>
      </c>
      <c r="E8" s="4" t="s">
        <v>7</v>
      </c>
      <c r="F8" s="2" t="s">
        <v>8</v>
      </c>
    </row>
    <row r="9" spans="1:255" x14ac:dyDescent="0.15">
      <c r="A9" s="5"/>
      <c r="B9" s="4" t="s">
        <v>2</v>
      </c>
      <c r="C9" s="2" t="s">
        <v>75</v>
      </c>
      <c r="D9" s="5" t="s">
        <v>4</v>
      </c>
      <c r="E9" s="4" t="s">
        <v>5</v>
      </c>
      <c r="F9" s="2" t="s">
        <v>6</v>
      </c>
    </row>
    <row r="10" spans="1:255" x14ac:dyDescent="0.15">
      <c r="A10" s="5"/>
      <c r="B10" s="4" t="s">
        <v>9</v>
      </c>
      <c r="C10" s="2" t="s">
        <v>10</v>
      </c>
      <c r="D10" s="5" t="s">
        <v>4</v>
      </c>
      <c r="E10" s="4" t="s">
        <v>11</v>
      </c>
      <c r="F10" s="6" t="s">
        <v>12</v>
      </c>
    </row>
    <row r="13" spans="1:255" x14ac:dyDescent="0.15">
      <c r="A13" s="7" t="s">
        <v>76</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6" x14ac:dyDescent="0.15">
      <c r="A14" s="9" t="s">
        <v>16</v>
      </c>
      <c r="B14" s="10" t="s">
        <v>77</v>
      </c>
      <c r="C14" s="10" t="s">
        <v>78</v>
      </c>
      <c r="D14" s="10" t="s">
        <v>79</v>
      </c>
      <c r="E14" s="10" t="s">
        <v>80</v>
      </c>
      <c r="F14" s="10" t="s">
        <v>81</v>
      </c>
      <c r="G14" s="10" t="s">
        <v>82</v>
      </c>
    </row>
    <row r="15" spans="1:255" ht="12" x14ac:dyDescent="0.15">
      <c r="A15" s="11" t="s">
        <v>23</v>
      </c>
      <c r="B15" s="12" t="s">
        <v>24</v>
      </c>
      <c r="C15" s="12" t="s">
        <v>24</v>
      </c>
      <c r="D15" s="12" t="s">
        <v>24</v>
      </c>
      <c r="E15" s="12" t="s">
        <v>24</v>
      </c>
      <c r="F15" s="12" t="s">
        <v>24</v>
      </c>
      <c r="G15" s="12" t="s">
        <v>24</v>
      </c>
    </row>
    <row r="16" spans="1:255" x14ac:dyDescent="0.15">
      <c r="A16" s="13" t="s">
        <v>34</v>
      </c>
      <c r="B16" s="14"/>
      <c r="C16" s="14"/>
      <c r="D16" s="14"/>
      <c r="E16" s="14"/>
      <c r="F16" s="14"/>
      <c r="G16" s="14"/>
    </row>
    <row r="17" spans="1:7" x14ac:dyDescent="0.15">
      <c r="A17" s="14" t="s">
        <v>83</v>
      </c>
      <c r="B17" s="20">
        <v>1855.5</v>
      </c>
      <c r="C17" s="20">
        <v>1861.2</v>
      </c>
      <c r="D17" s="20">
        <v>2004.3</v>
      </c>
      <c r="E17" s="20">
        <v>1973.3</v>
      </c>
      <c r="F17" s="20">
        <v>2189.1</v>
      </c>
      <c r="G17" s="20">
        <v>2352.4</v>
      </c>
    </row>
    <row r="18" spans="1:7" ht="12" x14ac:dyDescent="0.15">
      <c r="A18" s="14" t="s">
        <v>84</v>
      </c>
      <c r="B18" s="20" t="s">
        <v>48</v>
      </c>
      <c r="C18" s="20" t="s">
        <v>48</v>
      </c>
      <c r="D18" s="20" t="s">
        <v>48</v>
      </c>
      <c r="E18" s="20" t="s">
        <v>48</v>
      </c>
      <c r="F18" s="20" t="s">
        <v>48</v>
      </c>
      <c r="G18" s="20" t="s">
        <v>48</v>
      </c>
    </row>
    <row r="19" spans="1:7" x14ac:dyDescent="0.15">
      <c r="A19" s="13" t="s">
        <v>85</v>
      </c>
      <c r="B19" s="26">
        <v>1855.5</v>
      </c>
      <c r="C19" s="26">
        <v>1861.2</v>
      </c>
      <c r="D19" s="26">
        <v>2004.3</v>
      </c>
      <c r="E19" s="26">
        <v>1973.3</v>
      </c>
      <c r="F19" s="26">
        <v>2189.1</v>
      </c>
      <c r="G19" s="26">
        <v>2352.4</v>
      </c>
    </row>
    <row r="20" spans="1:7" x14ac:dyDescent="0.15">
      <c r="A20" s="14"/>
      <c r="B20" s="14"/>
      <c r="C20" s="14"/>
      <c r="D20" s="14"/>
      <c r="E20" s="14"/>
      <c r="F20" s="14"/>
      <c r="G20" s="14"/>
    </row>
    <row r="21" spans="1:7" x14ac:dyDescent="0.15">
      <c r="A21" s="14" t="s">
        <v>86</v>
      </c>
      <c r="B21" s="20">
        <v>1346.7</v>
      </c>
      <c r="C21" s="20">
        <v>1328.4</v>
      </c>
      <c r="D21" s="20">
        <v>1439.7</v>
      </c>
      <c r="E21" s="20">
        <v>1421.5</v>
      </c>
      <c r="F21" s="20">
        <v>1608.3</v>
      </c>
      <c r="G21" s="20">
        <v>1708.1</v>
      </c>
    </row>
    <row r="22" spans="1:7" x14ac:dyDescent="0.15">
      <c r="A22" s="13" t="s">
        <v>87</v>
      </c>
      <c r="B22" s="26">
        <v>508.8</v>
      </c>
      <c r="C22" s="26">
        <v>532.79999999999995</v>
      </c>
      <c r="D22" s="26">
        <v>564.6</v>
      </c>
      <c r="E22" s="26">
        <v>551.79999999999995</v>
      </c>
      <c r="F22" s="26">
        <v>580.79999999999995</v>
      </c>
      <c r="G22" s="26">
        <v>644.29999999999995</v>
      </c>
    </row>
    <row r="23" spans="1:7" x14ac:dyDescent="0.15">
      <c r="A23" s="14"/>
      <c r="B23" s="14"/>
      <c r="C23" s="14"/>
      <c r="D23" s="14"/>
      <c r="E23" s="14"/>
      <c r="F23" s="14"/>
      <c r="G23" s="14"/>
    </row>
    <row r="24" spans="1:7" x14ac:dyDescent="0.15">
      <c r="A24" s="14" t="s">
        <v>88</v>
      </c>
      <c r="B24" s="20">
        <v>149.1</v>
      </c>
      <c r="C24" s="20">
        <v>156.1</v>
      </c>
      <c r="D24" s="20">
        <v>157.6</v>
      </c>
      <c r="E24" s="20">
        <v>151.80000000000001</v>
      </c>
      <c r="F24" s="20">
        <v>146</v>
      </c>
      <c r="G24" s="20">
        <v>154.5</v>
      </c>
    </row>
    <row r="25" spans="1:7" x14ac:dyDescent="0.15">
      <c r="A25" s="14"/>
      <c r="B25" s="143">
        <f>B24/B19</f>
        <v>8.0355699272433301E-2</v>
      </c>
      <c r="C25" s="143">
        <f t="shared" ref="C25:G25" si="0">C24/C19</f>
        <v>8.3870621104663659E-2</v>
      </c>
      <c r="D25" s="143">
        <f t="shared" si="0"/>
        <v>7.8630943471536194E-2</v>
      </c>
      <c r="E25" s="143">
        <f t="shared" si="0"/>
        <v>7.6926975117822941E-2</v>
      </c>
      <c r="F25" s="143">
        <f t="shared" si="0"/>
        <v>6.6694075190717655E-2</v>
      </c>
      <c r="G25" s="143">
        <f t="shared" si="0"/>
        <v>6.5677605849345344E-2</v>
      </c>
    </row>
    <row r="26" spans="1:7" x14ac:dyDescent="0.15">
      <c r="A26" s="14" t="s">
        <v>89</v>
      </c>
      <c r="B26" s="20">
        <v>47.9</v>
      </c>
      <c r="C26" s="20">
        <v>44.3</v>
      </c>
      <c r="D26" s="20">
        <v>46.9</v>
      </c>
      <c r="E26" s="20">
        <v>49.4</v>
      </c>
      <c r="F26" s="20">
        <v>55.9</v>
      </c>
      <c r="G26" s="20">
        <v>58.5</v>
      </c>
    </row>
    <row r="27" spans="1:7" x14ac:dyDescent="0.15">
      <c r="A27" s="14"/>
      <c r="B27" s="143">
        <f>B26/B19</f>
        <v>2.5815144165992992E-2</v>
      </c>
      <c r="C27" s="143">
        <f t="shared" ref="C27:G27" si="1">C26/C19</f>
        <v>2.3801848269933375E-2</v>
      </c>
      <c r="D27" s="143">
        <f t="shared" si="1"/>
        <v>2.33996906650701E-2</v>
      </c>
      <c r="E27" s="143">
        <f t="shared" si="1"/>
        <v>2.5034206658896264E-2</v>
      </c>
      <c r="F27" s="143">
        <f t="shared" si="1"/>
        <v>2.5535608240829566E-2</v>
      </c>
      <c r="G27" s="143">
        <f t="shared" si="1"/>
        <v>2.4868219690528822E-2</v>
      </c>
    </row>
    <row r="28" spans="1:7" ht="12" x14ac:dyDescent="0.15">
      <c r="A28" s="14" t="s">
        <v>90</v>
      </c>
      <c r="B28" s="20" t="s">
        <v>48</v>
      </c>
      <c r="C28" s="20" t="s">
        <v>48</v>
      </c>
      <c r="D28" s="20" t="s">
        <v>48</v>
      </c>
      <c r="E28" s="20" t="s">
        <v>48</v>
      </c>
      <c r="F28" s="20" t="s">
        <v>48</v>
      </c>
      <c r="G28" s="20" t="s">
        <v>48</v>
      </c>
    </row>
    <row r="29" spans="1:7" x14ac:dyDescent="0.15">
      <c r="A29" s="14" t="s">
        <v>91</v>
      </c>
      <c r="B29" s="20">
        <v>0</v>
      </c>
      <c r="C29" s="20">
        <v>0</v>
      </c>
      <c r="D29" s="20">
        <v>0</v>
      </c>
      <c r="E29" s="20">
        <v>0</v>
      </c>
      <c r="F29" s="20">
        <v>7.3</v>
      </c>
      <c r="G29" s="20">
        <v>7.3</v>
      </c>
    </row>
    <row r="30" spans="1:7" x14ac:dyDescent="0.15">
      <c r="A30" s="14"/>
      <c r="B30" s="14"/>
      <c r="C30" s="14"/>
      <c r="D30" s="14"/>
      <c r="E30" s="14"/>
      <c r="F30" s="14"/>
      <c r="G30" s="14"/>
    </row>
    <row r="31" spans="1:7" x14ac:dyDescent="0.15">
      <c r="A31" s="13" t="s">
        <v>92</v>
      </c>
      <c r="B31" s="26">
        <v>197</v>
      </c>
      <c r="C31" s="26">
        <v>200.4</v>
      </c>
      <c r="D31" s="26">
        <v>204.5</v>
      </c>
      <c r="E31" s="26">
        <v>201.2</v>
      </c>
      <c r="F31" s="26">
        <v>209.2</v>
      </c>
      <c r="G31" s="26">
        <v>220.3</v>
      </c>
    </row>
    <row r="32" spans="1:7" x14ac:dyDescent="0.15">
      <c r="A32" s="14"/>
      <c r="B32" s="14"/>
      <c r="C32" s="14"/>
      <c r="D32" s="14"/>
      <c r="E32" s="14"/>
      <c r="F32" s="14"/>
      <c r="G32" s="14"/>
    </row>
    <row r="33" spans="1:7" x14ac:dyDescent="0.15">
      <c r="A33" s="13" t="s">
        <v>93</v>
      </c>
      <c r="B33" s="15">
        <v>311.8</v>
      </c>
      <c r="C33" s="15">
        <v>332.4</v>
      </c>
      <c r="D33" s="15">
        <v>360.1</v>
      </c>
      <c r="E33" s="15">
        <v>350.6</v>
      </c>
      <c r="F33" s="15">
        <v>371.6</v>
      </c>
      <c r="G33" s="15">
        <v>424</v>
      </c>
    </row>
    <row r="34" spans="1:7" x14ac:dyDescent="0.15">
      <c r="A34" s="14"/>
      <c r="B34" s="14"/>
      <c r="C34" s="14"/>
      <c r="D34" s="14"/>
      <c r="E34" s="14"/>
      <c r="F34" s="14"/>
      <c r="G34" s="14"/>
    </row>
    <row r="35" spans="1:7" x14ac:dyDescent="0.15">
      <c r="A35" s="14" t="s">
        <v>94</v>
      </c>
      <c r="B35" s="20">
        <v>-8</v>
      </c>
      <c r="C35" s="20">
        <v>-14.2</v>
      </c>
      <c r="D35" s="20">
        <v>-22.1</v>
      </c>
      <c r="E35" s="20">
        <v>-27.4</v>
      </c>
      <c r="F35" s="20">
        <v>-37.700000000000003</v>
      </c>
      <c r="G35" s="20">
        <v>-45.3</v>
      </c>
    </row>
    <row r="36" spans="1:7" ht="12" x14ac:dyDescent="0.15">
      <c r="A36" s="14" t="s">
        <v>95</v>
      </c>
      <c r="B36" s="20" t="s">
        <v>48</v>
      </c>
      <c r="C36" s="20" t="s">
        <v>48</v>
      </c>
      <c r="D36" s="20" t="s">
        <v>48</v>
      </c>
      <c r="E36" s="20" t="s">
        <v>48</v>
      </c>
      <c r="F36" s="20" t="s">
        <v>48</v>
      </c>
      <c r="G36" s="20" t="s">
        <v>48</v>
      </c>
    </row>
    <row r="37" spans="1:7" x14ac:dyDescent="0.15">
      <c r="A37" s="13" t="s">
        <v>96</v>
      </c>
      <c r="B37" s="26">
        <v>-8</v>
      </c>
      <c r="C37" s="26">
        <v>-14.2</v>
      </c>
      <c r="D37" s="26">
        <v>-22.1</v>
      </c>
      <c r="E37" s="26">
        <v>-27.4</v>
      </c>
      <c r="F37" s="26">
        <v>-37.700000000000003</v>
      </c>
      <c r="G37" s="26">
        <v>-45.3</v>
      </c>
    </row>
    <row r="38" spans="1:7" x14ac:dyDescent="0.15">
      <c r="A38" s="14"/>
      <c r="B38" s="14"/>
      <c r="C38" s="14"/>
      <c r="D38" s="14"/>
      <c r="E38" s="14"/>
      <c r="F38" s="14"/>
      <c r="G38" s="14"/>
    </row>
    <row r="39" spans="1:7" x14ac:dyDescent="0.15">
      <c r="A39" s="14" t="s">
        <v>97</v>
      </c>
      <c r="B39" s="20">
        <v>1.4</v>
      </c>
      <c r="C39" s="20">
        <v>2</v>
      </c>
      <c r="D39" s="20">
        <v>2.5</v>
      </c>
      <c r="E39" s="20">
        <v>3.3</v>
      </c>
      <c r="F39" s="20">
        <v>5.6</v>
      </c>
      <c r="G39" s="20">
        <v>4.2</v>
      </c>
    </row>
    <row r="40" spans="1:7" ht="12" x14ac:dyDescent="0.15">
      <c r="A40" s="14" t="s">
        <v>98</v>
      </c>
      <c r="B40" s="20" t="s">
        <v>48</v>
      </c>
      <c r="C40" s="20" t="s">
        <v>48</v>
      </c>
      <c r="D40" s="20" t="s">
        <v>48</v>
      </c>
      <c r="E40" s="20" t="s">
        <v>48</v>
      </c>
      <c r="F40" s="20" t="s">
        <v>48</v>
      </c>
      <c r="G40" s="20" t="s">
        <v>48</v>
      </c>
    </row>
    <row r="41" spans="1:7" x14ac:dyDescent="0.15">
      <c r="A41" s="13" t="s">
        <v>99</v>
      </c>
      <c r="B41" s="26">
        <v>305.2</v>
      </c>
      <c r="C41" s="26">
        <v>320.2</v>
      </c>
      <c r="D41" s="26">
        <v>340.5</v>
      </c>
      <c r="E41" s="26">
        <v>326.5</v>
      </c>
      <c r="F41" s="26">
        <v>339.5</v>
      </c>
      <c r="G41" s="26">
        <v>382.9</v>
      </c>
    </row>
    <row r="42" spans="1:7" x14ac:dyDescent="0.15">
      <c r="A42" s="14"/>
      <c r="B42" s="14"/>
      <c r="C42" s="14"/>
      <c r="D42" s="14"/>
      <c r="E42" s="14"/>
      <c r="F42" s="14"/>
      <c r="G42" s="14"/>
    </row>
    <row r="43" spans="1:7" ht="12" x14ac:dyDescent="0.15">
      <c r="A43" s="14" t="s">
        <v>100</v>
      </c>
      <c r="B43" s="20" t="s">
        <v>48</v>
      </c>
      <c r="C43" s="20" t="s">
        <v>48</v>
      </c>
      <c r="D43" s="20" t="s">
        <v>48</v>
      </c>
      <c r="E43" s="20">
        <v>0</v>
      </c>
      <c r="F43" s="20">
        <v>-7.7</v>
      </c>
      <c r="G43" s="20">
        <v>-7.7</v>
      </c>
    </row>
    <row r="44" spans="1:7" ht="12" x14ac:dyDescent="0.15">
      <c r="A44" s="14" t="s">
        <v>101</v>
      </c>
      <c r="B44" s="20" t="s">
        <v>48</v>
      </c>
      <c r="C44" s="20" t="s">
        <v>48</v>
      </c>
      <c r="D44" s="20" t="s">
        <v>48</v>
      </c>
      <c r="E44" s="20">
        <v>0</v>
      </c>
      <c r="F44" s="20" t="s">
        <v>48</v>
      </c>
      <c r="G44" s="20" t="s">
        <v>48</v>
      </c>
    </row>
    <row r="45" spans="1:7" ht="12" x14ac:dyDescent="0.15">
      <c r="A45" s="14" t="s">
        <v>102</v>
      </c>
      <c r="B45" s="20" t="s">
        <v>48</v>
      </c>
      <c r="C45" s="20" t="s">
        <v>48</v>
      </c>
      <c r="D45" s="20" t="s">
        <v>48</v>
      </c>
      <c r="E45" s="20">
        <v>0</v>
      </c>
      <c r="F45" s="20">
        <v>7.3</v>
      </c>
      <c r="G45" s="20">
        <v>7.3</v>
      </c>
    </row>
    <row r="46" spans="1:7" ht="12" x14ac:dyDescent="0.15">
      <c r="A46" s="14" t="s">
        <v>103</v>
      </c>
      <c r="B46" s="20">
        <v>-6.5</v>
      </c>
      <c r="C46" s="20" t="s">
        <v>48</v>
      </c>
      <c r="D46" s="20">
        <v>-0.4</v>
      </c>
      <c r="E46" s="20">
        <v>0</v>
      </c>
      <c r="F46" s="20" t="s">
        <v>48</v>
      </c>
      <c r="G46" s="20" t="s">
        <v>48</v>
      </c>
    </row>
    <row r="47" spans="1:7" x14ac:dyDescent="0.15">
      <c r="A47" s="13" t="s">
        <v>104</v>
      </c>
      <c r="B47" s="26">
        <v>298.7</v>
      </c>
      <c r="C47" s="26">
        <v>320.2</v>
      </c>
      <c r="D47" s="26">
        <v>340.1</v>
      </c>
      <c r="E47" s="26">
        <v>326.5</v>
      </c>
      <c r="F47" s="26">
        <v>339.1</v>
      </c>
      <c r="G47" s="26">
        <v>382.5</v>
      </c>
    </row>
    <row r="48" spans="1:7" x14ac:dyDescent="0.15">
      <c r="A48" s="14"/>
      <c r="B48" s="14"/>
      <c r="C48" s="14"/>
      <c r="D48" s="14"/>
      <c r="E48" s="14"/>
      <c r="F48" s="14"/>
      <c r="G48" s="14"/>
    </row>
    <row r="49" spans="1:7" x14ac:dyDescent="0.15">
      <c r="A49" s="14" t="s">
        <v>105</v>
      </c>
      <c r="B49" s="20">
        <v>89.3</v>
      </c>
      <c r="C49" s="20">
        <v>83</v>
      </c>
      <c r="D49" s="20">
        <v>90.3</v>
      </c>
      <c r="E49" s="20">
        <v>42.5</v>
      </c>
      <c r="F49" s="20">
        <v>62.5</v>
      </c>
      <c r="G49" s="20">
        <v>83</v>
      </c>
    </row>
    <row r="50" spans="1:7" x14ac:dyDescent="0.15">
      <c r="A50" s="13" t="s">
        <v>106</v>
      </c>
      <c r="B50" s="26">
        <v>209.4</v>
      </c>
      <c r="C50" s="26">
        <v>237.2</v>
      </c>
      <c r="D50" s="26">
        <v>249.8</v>
      </c>
      <c r="E50" s="26">
        <v>284</v>
      </c>
      <c r="F50" s="26">
        <v>276.60000000000002</v>
      </c>
      <c r="G50" s="26">
        <v>299.5</v>
      </c>
    </row>
    <row r="51" spans="1:7" x14ac:dyDescent="0.15">
      <c r="A51" s="14"/>
      <c r="B51" s="14"/>
      <c r="C51" s="14"/>
      <c r="D51" s="14"/>
      <c r="E51" s="14"/>
      <c r="F51" s="14"/>
      <c r="G51" s="14"/>
    </row>
    <row r="52" spans="1:7" ht="12" x14ac:dyDescent="0.15">
      <c r="A52" s="14" t="s">
        <v>107</v>
      </c>
      <c r="B52" s="20" t="s">
        <v>48</v>
      </c>
      <c r="C52" s="20" t="s">
        <v>48</v>
      </c>
      <c r="D52" s="20" t="s">
        <v>48</v>
      </c>
      <c r="E52" s="20" t="s">
        <v>48</v>
      </c>
      <c r="F52" s="20" t="s">
        <v>48</v>
      </c>
      <c r="G52" s="20" t="s">
        <v>48</v>
      </c>
    </row>
    <row r="53" spans="1:7" ht="12" x14ac:dyDescent="0.15">
      <c r="A53" s="14" t="s">
        <v>108</v>
      </c>
      <c r="B53" s="20" t="s">
        <v>48</v>
      </c>
      <c r="C53" s="20" t="s">
        <v>48</v>
      </c>
      <c r="D53" s="20" t="s">
        <v>48</v>
      </c>
      <c r="E53" s="20" t="s">
        <v>48</v>
      </c>
      <c r="F53" s="20" t="s">
        <v>48</v>
      </c>
      <c r="G53" s="20" t="s">
        <v>48</v>
      </c>
    </row>
    <row r="54" spans="1:7" x14ac:dyDescent="0.15">
      <c r="A54" s="13" t="s">
        <v>109</v>
      </c>
      <c r="B54" s="26">
        <v>209.4</v>
      </c>
      <c r="C54" s="26">
        <v>237.2</v>
      </c>
      <c r="D54" s="26">
        <v>249.8</v>
      </c>
      <c r="E54" s="26">
        <v>284</v>
      </c>
      <c r="F54" s="26">
        <v>276.60000000000002</v>
      </c>
      <c r="G54" s="26">
        <v>299.5</v>
      </c>
    </row>
    <row r="55" spans="1:7" x14ac:dyDescent="0.15">
      <c r="A55" s="14"/>
      <c r="B55" s="14"/>
      <c r="C55" s="14"/>
      <c r="D55" s="14"/>
      <c r="E55" s="14"/>
      <c r="F55" s="14"/>
      <c r="G55" s="14"/>
    </row>
    <row r="56" spans="1:7" ht="12" x14ac:dyDescent="0.15">
      <c r="A56" s="14" t="s">
        <v>110</v>
      </c>
      <c r="B56" s="20" t="s">
        <v>48</v>
      </c>
      <c r="C56" s="20" t="s">
        <v>48</v>
      </c>
      <c r="D56" s="20" t="s">
        <v>48</v>
      </c>
      <c r="E56" s="20" t="s">
        <v>48</v>
      </c>
      <c r="F56" s="20" t="s">
        <v>48</v>
      </c>
      <c r="G56" s="20" t="s">
        <v>48</v>
      </c>
    </row>
    <row r="57" spans="1:7" x14ac:dyDescent="0.15">
      <c r="A57" s="13" t="s">
        <v>111</v>
      </c>
      <c r="B57" s="27">
        <v>209.4</v>
      </c>
      <c r="C57" s="27">
        <v>237.2</v>
      </c>
      <c r="D57" s="27">
        <v>249.8</v>
      </c>
      <c r="E57" s="27">
        <v>284</v>
      </c>
      <c r="F57" s="27">
        <v>276.60000000000002</v>
      </c>
      <c r="G57" s="27">
        <v>299.5</v>
      </c>
    </row>
    <row r="58" spans="1:7" x14ac:dyDescent="0.15">
      <c r="A58" s="14"/>
      <c r="B58" s="14"/>
      <c r="C58" s="14"/>
      <c r="D58" s="14"/>
      <c r="E58" s="14"/>
      <c r="F58" s="14"/>
      <c r="G58" s="14"/>
    </row>
    <row r="59" spans="1:7" ht="12" x14ac:dyDescent="0.15">
      <c r="A59" s="14" t="s">
        <v>112</v>
      </c>
      <c r="B59" s="20" t="s">
        <v>48</v>
      </c>
      <c r="C59" s="20" t="s">
        <v>48</v>
      </c>
      <c r="D59" s="20" t="s">
        <v>48</v>
      </c>
      <c r="E59" s="20" t="s">
        <v>48</v>
      </c>
      <c r="F59" s="20" t="s">
        <v>48</v>
      </c>
      <c r="G59" s="20" t="s">
        <v>48</v>
      </c>
    </row>
    <row r="60" spans="1:7" x14ac:dyDescent="0.15">
      <c r="A60" s="14"/>
      <c r="B60" s="14"/>
      <c r="C60" s="14"/>
      <c r="D60" s="14"/>
      <c r="E60" s="14"/>
      <c r="F60" s="14"/>
      <c r="G60" s="14"/>
    </row>
    <row r="61" spans="1:7" x14ac:dyDescent="0.15">
      <c r="A61" s="13" t="s">
        <v>113</v>
      </c>
      <c r="B61" s="15">
        <v>209.4</v>
      </c>
      <c r="C61" s="15">
        <v>237.2</v>
      </c>
      <c r="D61" s="15">
        <v>249.8</v>
      </c>
      <c r="E61" s="15">
        <v>284</v>
      </c>
      <c r="F61" s="15">
        <v>276.60000000000002</v>
      </c>
      <c r="G61" s="15">
        <v>299.5</v>
      </c>
    </row>
    <row r="62" spans="1:7" x14ac:dyDescent="0.15">
      <c r="A62" s="13" t="s">
        <v>114</v>
      </c>
      <c r="B62" s="15">
        <v>209.4</v>
      </c>
      <c r="C62" s="15">
        <v>237.2</v>
      </c>
      <c r="D62" s="15">
        <v>249.8</v>
      </c>
      <c r="E62" s="15">
        <v>284</v>
      </c>
      <c r="F62" s="15">
        <v>276.60000000000002</v>
      </c>
      <c r="G62" s="15">
        <v>299.5</v>
      </c>
    </row>
    <row r="63" spans="1:7" x14ac:dyDescent="0.15">
      <c r="A63" s="14"/>
      <c r="B63" s="14"/>
      <c r="C63" s="14"/>
      <c r="D63" s="14"/>
      <c r="E63" s="14"/>
      <c r="F63" s="14"/>
      <c r="G63" s="14"/>
    </row>
    <row r="64" spans="1:7" x14ac:dyDescent="0.15">
      <c r="A64" s="13" t="s">
        <v>115</v>
      </c>
      <c r="B64" s="14"/>
      <c r="C64" s="14"/>
      <c r="D64" s="14"/>
      <c r="E64" s="14"/>
      <c r="F64" s="14"/>
      <c r="G64" s="14"/>
    </row>
    <row r="65" spans="1:7" x14ac:dyDescent="0.15">
      <c r="A65" s="14" t="s">
        <v>116</v>
      </c>
      <c r="B65" s="22">
        <v>2.16</v>
      </c>
      <c r="C65" s="22">
        <v>2.48</v>
      </c>
      <c r="D65" s="22">
        <v>2.69</v>
      </c>
      <c r="E65" s="22">
        <v>3.13</v>
      </c>
      <c r="F65" s="22">
        <v>3.15</v>
      </c>
      <c r="G65" s="22">
        <v>3.51</v>
      </c>
    </row>
    <row r="66" spans="1:7" x14ac:dyDescent="0.15">
      <c r="A66" s="14" t="s">
        <v>117</v>
      </c>
      <c r="B66" s="28">
        <v>2.1632229999999999</v>
      </c>
      <c r="C66" s="28">
        <v>2.4759910000000001</v>
      </c>
      <c r="D66" s="28">
        <v>2.6918099999999998</v>
      </c>
      <c r="E66" s="28">
        <v>3.1346569999999998</v>
      </c>
      <c r="F66" s="28">
        <v>3.146757</v>
      </c>
      <c r="G66" s="28">
        <v>3.5121660000000001</v>
      </c>
    </row>
    <row r="67" spans="1:7" x14ac:dyDescent="0.15">
      <c r="A67" s="14" t="s">
        <v>118</v>
      </c>
      <c r="B67" s="20">
        <v>96.8</v>
      </c>
      <c r="C67" s="20">
        <v>95.8</v>
      </c>
      <c r="D67" s="20">
        <v>92.8</v>
      </c>
      <c r="E67" s="20">
        <v>90.6</v>
      </c>
      <c r="F67" s="20">
        <v>87.9</v>
      </c>
      <c r="G67" s="20">
        <v>85.275000000000006</v>
      </c>
    </row>
    <row r="68" spans="1:7" x14ac:dyDescent="0.15">
      <c r="A68" s="14"/>
      <c r="B68" s="14"/>
      <c r="C68" s="14"/>
      <c r="D68" s="14"/>
      <c r="E68" s="14"/>
      <c r="F68" s="14"/>
      <c r="G68" s="14"/>
    </row>
    <row r="69" spans="1:7" x14ac:dyDescent="0.15">
      <c r="A69" s="14" t="s">
        <v>119</v>
      </c>
      <c r="B69" s="22">
        <v>2.12</v>
      </c>
      <c r="C69" s="22">
        <v>2.44</v>
      </c>
      <c r="D69" s="22">
        <v>2.65</v>
      </c>
      <c r="E69" s="22">
        <v>3.09</v>
      </c>
      <c r="F69" s="22">
        <v>3.11</v>
      </c>
      <c r="G69" s="22">
        <v>3.47</v>
      </c>
    </row>
    <row r="70" spans="1:7" x14ac:dyDescent="0.15">
      <c r="A70" s="14" t="s">
        <v>120</v>
      </c>
      <c r="B70" s="28">
        <v>2.12</v>
      </c>
      <c r="C70" s="28">
        <v>2.44</v>
      </c>
      <c r="D70" s="28">
        <v>2.65</v>
      </c>
      <c r="E70" s="28">
        <v>3.09</v>
      </c>
      <c r="F70" s="28">
        <v>3.11</v>
      </c>
      <c r="G70" s="28">
        <v>3.4684349999999999</v>
      </c>
    </row>
    <row r="71" spans="1:7" x14ac:dyDescent="0.15">
      <c r="A71" s="14" t="s">
        <v>121</v>
      </c>
      <c r="B71" s="20">
        <v>98.7</v>
      </c>
      <c r="C71" s="20">
        <v>97.2</v>
      </c>
      <c r="D71" s="20">
        <v>94.2</v>
      </c>
      <c r="E71" s="20">
        <v>91.9</v>
      </c>
      <c r="F71" s="20">
        <v>89</v>
      </c>
      <c r="G71" s="20">
        <v>86.3</v>
      </c>
    </row>
    <row r="72" spans="1:7" x14ac:dyDescent="0.15">
      <c r="A72" s="14"/>
      <c r="B72" s="14"/>
      <c r="C72" s="14"/>
      <c r="D72" s="14"/>
      <c r="E72" s="14"/>
      <c r="F72" s="14"/>
      <c r="G72" s="14"/>
    </row>
    <row r="73" spans="1:7" x14ac:dyDescent="0.15">
      <c r="A73" s="14" t="s">
        <v>122</v>
      </c>
      <c r="B73" s="22">
        <v>1.97</v>
      </c>
      <c r="C73" s="22">
        <v>2.09</v>
      </c>
      <c r="D73" s="22">
        <v>2.29</v>
      </c>
      <c r="E73" s="22">
        <v>2.25</v>
      </c>
      <c r="F73" s="22">
        <v>2.41</v>
      </c>
      <c r="G73" s="22">
        <v>2.81</v>
      </c>
    </row>
    <row r="74" spans="1:7" x14ac:dyDescent="0.15">
      <c r="A74" s="14" t="s">
        <v>123</v>
      </c>
      <c r="B74" s="28">
        <v>1.9326239999999999</v>
      </c>
      <c r="C74" s="28">
        <v>2.0588989999999998</v>
      </c>
      <c r="D74" s="28">
        <v>2.2591559999999999</v>
      </c>
      <c r="E74" s="28">
        <v>2.2204839999999999</v>
      </c>
      <c r="F74" s="28">
        <v>2.3841290000000002</v>
      </c>
      <c r="G74" s="28">
        <v>2.7730299999999999</v>
      </c>
    </row>
    <row r="75" spans="1:7" x14ac:dyDescent="0.15">
      <c r="A75" s="14"/>
      <c r="B75" s="14"/>
      <c r="C75" s="14"/>
      <c r="D75" s="14"/>
      <c r="E75" s="14"/>
      <c r="F75" s="14"/>
      <c r="G75" s="14"/>
    </row>
    <row r="76" spans="1:7" ht="12" x14ac:dyDescent="0.15">
      <c r="A76" s="14" t="s">
        <v>124</v>
      </c>
      <c r="B76" s="28" t="s">
        <v>125</v>
      </c>
      <c r="C76" s="22">
        <v>0.4</v>
      </c>
      <c r="D76" s="22">
        <v>0.43</v>
      </c>
      <c r="E76" s="22">
        <v>0.47</v>
      </c>
      <c r="F76" s="22">
        <v>0.55000000000000004</v>
      </c>
      <c r="G76" s="22">
        <v>0.62</v>
      </c>
    </row>
    <row r="77" spans="1:7" ht="12" x14ac:dyDescent="0.15">
      <c r="A77" s="14" t="s">
        <v>126</v>
      </c>
      <c r="B77" s="19" t="s">
        <v>125</v>
      </c>
      <c r="C77" s="29">
        <v>0.161467</v>
      </c>
      <c r="D77" s="29">
        <v>0.159327</v>
      </c>
      <c r="E77" s="29">
        <v>0.15</v>
      </c>
      <c r="F77" s="29">
        <v>0.174981</v>
      </c>
      <c r="G77" s="29">
        <v>0.17629300000000001</v>
      </c>
    </row>
    <row r="78" spans="1:7" x14ac:dyDescent="0.15">
      <c r="A78" s="14"/>
      <c r="B78" s="14"/>
      <c r="C78" s="14"/>
      <c r="D78" s="14"/>
      <c r="E78" s="14"/>
      <c r="F78" s="14"/>
      <c r="G78" s="14"/>
    </row>
    <row r="79" spans="1:7" x14ac:dyDescent="0.15">
      <c r="A79" s="13" t="s">
        <v>127</v>
      </c>
      <c r="B79" s="14"/>
      <c r="C79" s="14"/>
      <c r="D79" s="14"/>
      <c r="E79" s="14"/>
      <c r="F79" s="14"/>
      <c r="G79" s="14"/>
    </row>
    <row r="80" spans="1:7" x14ac:dyDescent="0.15">
      <c r="A80" s="14" t="s">
        <v>29</v>
      </c>
      <c r="B80" s="20">
        <v>383</v>
      </c>
      <c r="C80" s="20">
        <v>408.8</v>
      </c>
      <c r="D80" s="20">
        <v>453.4</v>
      </c>
      <c r="E80" s="20">
        <v>455.1</v>
      </c>
      <c r="F80" s="20">
        <v>494.7</v>
      </c>
      <c r="G80" s="20">
        <v>563.4</v>
      </c>
    </row>
    <row r="81" spans="1:7" x14ac:dyDescent="0.15">
      <c r="A81" s="14" t="s">
        <v>128</v>
      </c>
      <c r="B81" s="20">
        <v>311.8</v>
      </c>
      <c r="C81" s="20">
        <v>332.4</v>
      </c>
      <c r="D81" s="20">
        <v>360.1</v>
      </c>
      <c r="E81" s="20">
        <v>351.6</v>
      </c>
      <c r="F81" s="20">
        <v>374.5</v>
      </c>
      <c r="G81" s="20">
        <v>432.3</v>
      </c>
    </row>
    <row r="82" spans="1:7" x14ac:dyDescent="0.15">
      <c r="A82" s="14" t="s">
        <v>30</v>
      </c>
      <c r="B82" s="20">
        <v>311.8</v>
      </c>
      <c r="C82" s="20">
        <v>332.4</v>
      </c>
      <c r="D82" s="20">
        <v>360.1</v>
      </c>
      <c r="E82" s="20">
        <v>350.6</v>
      </c>
      <c r="F82" s="20">
        <v>371.6</v>
      </c>
      <c r="G82" s="20">
        <v>424</v>
      </c>
    </row>
    <row r="83" spans="1:7" ht="12" x14ac:dyDescent="0.15">
      <c r="A83" s="14" t="s">
        <v>129</v>
      </c>
      <c r="B83" s="20">
        <v>395.7</v>
      </c>
      <c r="C83" s="20">
        <v>419</v>
      </c>
      <c r="D83" s="20">
        <v>464.8</v>
      </c>
      <c r="E83" s="20">
        <v>467.1</v>
      </c>
      <c r="F83" s="20">
        <v>508.5</v>
      </c>
      <c r="G83" s="20" t="s">
        <v>125</v>
      </c>
    </row>
    <row r="84" spans="1:7" x14ac:dyDescent="0.15">
      <c r="A84" s="14" t="s">
        <v>130</v>
      </c>
      <c r="B84" s="29">
        <v>0.29896200000000001</v>
      </c>
      <c r="C84" s="29">
        <v>0.259212</v>
      </c>
      <c r="D84" s="29">
        <v>0.26551000000000002</v>
      </c>
      <c r="E84" s="29">
        <v>0.13016800000000001</v>
      </c>
      <c r="F84" s="29">
        <v>0.184311</v>
      </c>
      <c r="G84" s="29">
        <v>0.21699299999999999</v>
      </c>
    </row>
    <row r="85" spans="1:7" x14ac:dyDescent="0.15">
      <c r="A85" s="14" t="s">
        <v>131</v>
      </c>
      <c r="B85" s="20">
        <v>21.5</v>
      </c>
      <c r="C85" s="20">
        <v>-0.3</v>
      </c>
      <c r="D85" s="20">
        <v>-9.5</v>
      </c>
      <c r="E85" s="20">
        <v>18.899999999999999</v>
      </c>
      <c r="F85" s="20">
        <v>18.3</v>
      </c>
      <c r="G85" s="20">
        <v>18.3</v>
      </c>
    </row>
    <row r="86" spans="1:7" x14ac:dyDescent="0.15">
      <c r="A86" s="14" t="s">
        <v>132</v>
      </c>
      <c r="B86" s="20">
        <v>28.1</v>
      </c>
      <c r="C86" s="20">
        <v>30.1</v>
      </c>
      <c r="D86" s="20">
        <v>37.1</v>
      </c>
      <c r="E86" s="20">
        <v>20.3</v>
      </c>
      <c r="F86" s="20">
        <v>14.9</v>
      </c>
      <c r="G86" s="20">
        <v>14.9</v>
      </c>
    </row>
    <row r="87" spans="1:7" x14ac:dyDescent="0.15">
      <c r="A87" s="14" t="s">
        <v>133</v>
      </c>
      <c r="B87" s="20">
        <v>49.6</v>
      </c>
      <c r="C87" s="20">
        <v>29.8</v>
      </c>
      <c r="D87" s="20">
        <v>27.6</v>
      </c>
      <c r="E87" s="20">
        <v>39.200000000000003</v>
      </c>
      <c r="F87" s="20">
        <v>33.200000000000003</v>
      </c>
      <c r="G87" s="20">
        <v>33.200000000000003</v>
      </c>
    </row>
    <row r="88" spans="1:7" x14ac:dyDescent="0.15">
      <c r="A88" s="14" t="s">
        <v>134</v>
      </c>
      <c r="B88" s="20">
        <v>34.4</v>
      </c>
      <c r="C88" s="20">
        <v>48.6</v>
      </c>
      <c r="D88" s="20">
        <v>54.3</v>
      </c>
      <c r="E88" s="20">
        <v>-1.9</v>
      </c>
      <c r="F88" s="20">
        <v>26.8</v>
      </c>
      <c r="G88" s="20">
        <v>26.8</v>
      </c>
    </row>
    <row r="89" spans="1:7" x14ac:dyDescent="0.15">
      <c r="A89" s="14" t="s">
        <v>135</v>
      </c>
      <c r="B89" s="20">
        <v>5.3</v>
      </c>
      <c r="C89" s="20">
        <v>4.5999999999999996</v>
      </c>
      <c r="D89" s="20">
        <v>8.4</v>
      </c>
      <c r="E89" s="20">
        <v>5.2</v>
      </c>
      <c r="F89" s="20">
        <v>2.5</v>
      </c>
      <c r="G89" s="20">
        <v>2.5</v>
      </c>
    </row>
    <row r="90" spans="1:7" x14ac:dyDescent="0.15">
      <c r="A90" s="14" t="s">
        <v>136</v>
      </c>
      <c r="B90" s="20">
        <v>39.700000000000003</v>
      </c>
      <c r="C90" s="20">
        <v>53.2</v>
      </c>
      <c r="D90" s="20">
        <v>62.7</v>
      </c>
      <c r="E90" s="20">
        <v>3.3</v>
      </c>
      <c r="F90" s="20">
        <v>29.3</v>
      </c>
      <c r="G90" s="20">
        <v>29.3</v>
      </c>
    </row>
    <row r="91" spans="1:7" x14ac:dyDescent="0.15">
      <c r="A91" s="14"/>
      <c r="B91" s="14"/>
      <c r="C91" s="14"/>
      <c r="D91" s="14"/>
      <c r="E91" s="14"/>
      <c r="F91" s="14"/>
      <c r="G91" s="14"/>
    </row>
    <row r="92" spans="1:7" x14ac:dyDescent="0.15">
      <c r="A92" s="14" t="s">
        <v>137</v>
      </c>
      <c r="B92" s="20">
        <v>190.75</v>
      </c>
      <c r="C92" s="20">
        <v>200.125</v>
      </c>
      <c r="D92" s="20">
        <v>212.8125</v>
      </c>
      <c r="E92" s="20">
        <v>204.0625</v>
      </c>
      <c r="F92" s="20">
        <v>212.1875</v>
      </c>
      <c r="G92" s="20">
        <v>239.3125</v>
      </c>
    </row>
    <row r="93" spans="1:7" ht="12" x14ac:dyDescent="0.15">
      <c r="A93" s="14" t="s">
        <v>138</v>
      </c>
      <c r="B93" s="20" t="s">
        <v>125</v>
      </c>
      <c r="C93" s="20" t="s">
        <v>125</v>
      </c>
      <c r="D93" s="20" t="s">
        <v>125</v>
      </c>
      <c r="E93" s="20">
        <v>3.1</v>
      </c>
      <c r="F93" s="20">
        <v>9.5</v>
      </c>
      <c r="G93" s="20" t="s">
        <v>125</v>
      </c>
    </row>
    <row r="94" spans="1:7" ht="12" x14ac:dyDescent="0.15">
      <c r="A94" s="14" t="s">
        <v>139</v>
      </c>
      <c r="B94" s="20">
        <v>3.5</v>
      </c>
      <c r="C94" s="20">
        <v>0.8</v>
      </c>
      <c r="D94" s="20">
        <v>-0.4</v>
      </c>
      <c r="E94" s="20">
        <v>-1.7</v>
      </c>
      <c r="F94" s="20">
        <v>-3.9</v>
      </c>
      <c r="G94" s="20" t="s">
        <v>48</v>
      </c>
    </row>
    <row r="95" spans="1:7" x14ac:dyDescent="0.15">
      <c r="A95" s="14" t="s">
        <v>140</v>
      </c>
      <c r="B95" s="30">
        <v>42775</v>
      </c>
      <c r="C95" s="30">
        <v>43138</v>
      </c>
      <c r="D95" s="30">
        <v>43502</v>
      </c>
      <c r="E95" s="30">
        <v>43502</v>
      </c>
      <c r="F95" s="30">
        <v>43502</v>
      </c>
      <c r="G95" s="30">
        <v>43759</v>
      </c>
    </row>
    <row r="96" spans="1:7" ht="12" x14ac:dyDescent="0.15">
      <c r="A96" s="14" t="s">
        <v>141</v>
      </c>
      <c r="B96" s="19" t="s">
        <v>142</v>
      </c>
      <c r="C96" s="19" t="s">
        <v>142</v>
      </c>
      <c r="D96" s="19" t="s">
        <v>142</v>
      </c>
      <c r="E96" s="19" t="s">
        <v>142</v>
      </c>
      <c r="F96" s="19" t="s">
        <v>143</v>
      </c>
      <c r="G96" s="19" t="s">
        <v>143</v>
      </c>
    </row>
    <row r="97" spans="1:7" ht="12" x14ac:dyDescent="0.15">
      <c r="A97" s="14" t="s">
        <v>144</v>
      </c>
      <c r="B97" s="19" t="s">
        <v>145</v>
      </c>
      <c r="C97" s="19" t="s">
        <v>145</v>
      </c>
      <c r="D97" s="19" t="s">
        <v>145</v>
      </c>
      <c r="E97" s="19" t="s">
        <v>145</v>
      </c>
      <c r="F97" s="19" t="s">
        <v>145</v>
      </c>
      <c r="G97" s="19" t="s">
        <v>146</v>
      </c>
    </row>
    <row r="98" spans="1:7" x14ac:dyDescent="0.15">
      <c r="A98" s="14"/>
      <c r="B98" s="14"/>
      <c r="C98" s="14"/>
      <c r="D98" s="14"/>
      <c r="E98" s="14"/>
      <c r="F98" s="14"/>
      <c r="G98" s="14"/>
    </row>
    <row r="99" spans="1:7" x14ac:dyDescent="0.15">
      <c r="A99" s="13" t="s">
        <v>147</v>
      </c>
      <c r="B99" s="14"/>
      <c r="C99" s="14"/>
      <c r="D99" s="14"/>
      <c r="E99" s="14"/>
      <c r="F99" s="14"/>
      <c r="G99" s="14"/>
    </row>
    <row r="100" spans="1:7" x14ac:dyDescent="0.15">
      <c r="A100" s="14" t="s">
        <v>148</v>
      </c>
      <c r="B100" s="20">
        <v>47.9</v>
      </c>
      <c r="C100" s="20">
        <v>44.3</v>
      </c>
      <c r="D100" s="20">
        <v>46.9</v>
      </c>
      <c r="E100" s="20">
        <v>49.4</v>
      </c>
      <c r="F100" s="20">
        <v>55.9</v>
      </c>
      <c r="G100" s="20">
        <v>58.5</v>
      </c>
    </row>
    <row r="101" spans="1:7" ht="12" x14ac:dyDescent="0.15">
      <c r="A101" s="14" t="s">
        <v>149</v>
      </c>
      <c r="B101" s="20">
        <v>12.7</v>
      </c>
      <c r="C101" s="20">
        <v>10.199999999999999</v>
      </c>
      <c r="D101" s="20">
        <v>11.4</v>
      </c>
      <c r="E101" s="20">
        <v>12</v>
      </c>
      <c r="F101" s="20">
        <v>13.8</v>
      </c>
      <c r="G101" s="20" t="s">
        <v>125</v>
      </c>
    </row>
    <row r="102" spans="1:7" ht="12" x14ac:dyDescent="0.15">
      <c r="A102" s="14" t="s">
        <v>150</v>
      </c>
      <c r="B102" s="20">
        <v>2.28539</v>
      </c>
      <c r="C102" s="20">
        <v>2.334168</v>
      </c>
      <c r="D102" s="20">
        <v>3.1857980000000001</v>
      </c>
      <c r="E102" s="20">
        <v>3.906336</v>
      </c>
      <c r="F102" s="20">
        <v>5.895912</v>
      </c>
      <c r="G102" s="20" t="s">
        <v>48</v>
      </c>
    </row>
    <row r="103" spans="1:7" ht="12" x14ac:dyDescent="0.15">
      <c r="A103" s="14" t="s">
        <v>151</v>
      </c>
      <c r="B103" s="20">
        <v>10.41461</v>
      </c>
      <c r="C103" s="20">
        <v>7.8658320000000002</v>
      </c>
      <c r="D103" s="20">
        <v>8.2142020000000002</v>
      </c>
      <c r="E103" s="20">
        <v>8.0936640000000004</v>
      </c>
      <c r="F103" s="20">
        <v>7.9040879999999998</v>
      </c>
      <c r="G103" s="20" t="s">
        <v>48</v>
      </c>
    </row>
    <row r="104" spans="1:7" x14ac:dyDescent="0.15">
      <c r="A104" s="14"/>
      <c r="B104" s="14"/>
      <c r="C104" s="14"/>
      <c r="D104" s="14"/>
      <c r="E104" s="14"/>
      <c r="F104" s="14"/>
      <c r="G104" s="14"/>
    </row>
    <row r="105" spans="1:7" x14ac:dyDescent="0.15">
      <c r="A105" s="14" t="s">
        <v>152</v>
      </c>
      <c r="B105" s="20">
        <v>17.2</v>
      </c>
      <c r="C105" s="20">
        <v>17.899999999999999</v>
      </c>
      <c r="D105" s="20">
        <v>16.100000000000001</v>
      </c>
      <c r="E105" s="20">
        <v>17.600000000000001</v>
      </c>
      <c r="F105" s="20">
        <v>16.2</v>
      </c>
      <c r="G105" s="20">
        <v>18.100000000000001</v>
      </c>
    </row>
    <row r="106" spans="1:7" x14ac:dyDescent="0.15">
      <c r="A106" s="13" t="s">
        <v>153</v>
      </c>
      <c r="B106" s="15">
        <v>17.2</v>
      </c>
      <c r="C106" s="15">
        <v>17.899999999999999</v>
      </c>
      <c r="D106" s="15">
        <v>16.100000000000001</v>
      </c>
      <c r="E106" s="15">
        <v>17.600000000000001</v>
      </c>
      <c r="F106" s="15">
        <v>16.2</v>
      </c>
      <c r="G106" s="15">
        <v>18.100000000000001</v>
      </c>
    </row>
    <row r="107" spans="1:7" x14ac:dyDescent="0.15">
      <c r="A107" s="14"/>
      <c r="B107" s="14"/>
      <c r="C107" s="14"/>
      <c r="D107" s="14"/>
      <c r="E107" s="14"/>
      <c r="F107" s="14"/>
      <c r="G107" s="14"/>
    </row>
    <row r="108" spans="1:7" x14ac:dyDescent="0.15">
      <c r="A108" s="21"/>
      <c r="B108" s="21"/>
      <c r="C108" s="21"/>
      <c r="D108" s="21"/>
      <c r="E108" s="21"/>
      <c r="F108" s="21"/>
      <c r="G108" s="21"/>
    </row>
    <row r="109" spans="1:7" x14ac:dyDescent="0.15">
      <c r="A109" s="31" t="s">
        <v>154</v>
      </c>
    </row>
    <row r="110" spans="1:7" x14ac:dyDescent="0.15">
      <c r="A110" s="25" t="s">
        <v>66</v>
      </c>
    </row>
  </sheetData>
  <pageMargins left="0.2" right="0.2" top="0.5" bottom="0.5" header="0.5" footer="0.5"/>
  <pageSetup fitToWidth="0" fitToHeight="0" orientation="landscape"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C00C-C6C5-4949-B08F-673C30660F2F}">
  <sheetPr>
    <outlinePr summaryBelow="0" summaryRight="0"/>
    <pageSetUpPr autoPageBreaks="0"/>
  </sheetPr>
  <dimension ref="A5:IU100"/>
  <sheetViews>
    <sheetView showGridLines="0" topLeftCell="A24" workbookViewId="0">
      <selection activeCell="G54" sqref="G54"/>
    </sheetView>
  </sheetViews>
  <sheetFormatPr baseColWidth="10" defaultColWidth="8.75" defaultRowHeight="11" x14ac:dyDescent="0.15"/>
  <cols>
    <col min="1" max="1" width="53.5" style="2" customWidth="1"/>
    <col min="2" max="7" width="17.25" style="2" customWidth="1"/>
    <col min="8" max="11" width="9.25" style="2"/>
    <col min="12" max="17" width="10.25" style="2" bestFit="1" customWidth="1"/>
    <col min="18" max="256" width="9.25" style="2"/>
    <col min="257" max="257" width="53.5" style="2" customWidth="1"/>
    <col min="258" max="263" width="17.25" style="2" customWidth="1"/>
    <col min="264" max="512" width="9.25" style="2"/>
    <col min="513" max="513" width="53.5" style="2" customWidth="1"/>
    <col min="514" max="519" width="17.25" style="2" customWidth="1"/>
    <col min="520" max="768" width="9.25" style="2"/>
    <col min="769" max="769" width="53.5" style="2" customWidth="1"/>
    <col min="770" max="775" width="17.25" style="2" customWidth="1"/>
    <col min="776" max="1024" width="9.25" style="2"/>
    <col min="1025" max="1025" width="53.5" style="2" customWidth="1"/>
    <col min="1026" max="1031" width="17.25" style="2" customWidth="1"/>
    <col min="1032" max="1280" width="9.25" style="2"/>
    <col min="1281" max="1281" width="53.5" style="2" customWidth="1"/>
    <col min="1282" max="1287" width="17.25" style="2" customWidth="1"/>
    <col min="1288" max="1536" width="9.25" style="2"/>
    <col min="1537" max="1537" width="53.5" style="2" customWidth="1"/>
    <col min="1538" max="1543" width="17.25" style="2" customWidth="1"/>
    <col min="1544" max="1792" width="9.25" style="2"/>
    <col min="1793" max="1793" width="53.5" style="2" customWidth="1"/>
    <col min="1794" max="1799" width="17.25" style="2" customWidth="1"/>
    <col min="1800" max="2048" width="9.25" style="2"/>
    <col min="2049" max="2049" width="53.5" style="2" customWidth="1"/>
    <col min="2050" max="2055" width="17.25" style="2" customWidth="1"/>
    <col min="2056" max="2304" width="9.25" style="2"/>
    <col min="2305" max="2305" width="53.5" style="2" customWidth="1"/>
    <col min="2306" max="2311" width="17.25" style="2" customWidth="1"/>
    <col min="2312" max="2560" width="9.25" style="2"/>
    <col min="2561" max="2561" width="53.5" style="2" customWidth="1"/>
    <col min="2562" max="2567" width="17.25" style="2" customWidth="1"/>
    <col min="2568" max="2816" width="9.25" style="2"/>
    <col min="2817" max="2817" width="53.5" style="2" customWidth="1"/>
    <col min="2818" max="2823" width="17.25" style="2" customWidth="1"/>
    <col min="2824" max="3072" width="9.25" style="2"/>
    <col min="3073" max="3073" width="53.5" style="2" customWidth="1"/>
    <col min="3074" max="3079" width="17.25" style="2" customWidth="1"/>
    <col min="3080" max="3328" width="9.25" style="2"/>
    <col min="3329" max="3329" width="53.5" style="2" customWidth="1"/>
    <col min="3330" max="3335" width="17.25" style="2" customWidth="1"/>
    <col min="3336" max="3584" width="9.25" style="2"/>
    <col min="3585" max="3585" width="53.5" style="2" customWidth="1"/>
    <col min="3586" max="3591" width="17.25" style="2" customWidth="1"/>
    <col min="3592" max="3840" width="9.25" style="2"/>
    <col min="3841" max="3841" width="53.5" style="2" customWidth="1"/>
    <col min="3842" max="3847" width="17.25" style="2" customWidth="1"/>
    <col min="3848" max="4096" width="9.25" style="2"/>
    <col min="4097" max="4097" width="53.5" style="2" customWidth="1"/>
    <col min="4098" max="4103" width="17.25" style="2" customWidth="1"/>
    <col min="4104" max="4352" width="9.25" style="2"/>
    <col min="4353" max="4353" width="53.5" style="2" customWidth="1"/>
    <col min="4354" max="4359" width="17.25" style="2" customWidth="1"/>
    <col min="4360" max="4608" width="9.25" style="2"/>
    <col min="4609" max="4609" width="53.5" style="2" customWidth="1"/>
    <col min="4610" max="4615" width="17.25" style="2" customWidth="1"/>
    <col min="4616" max="4864" width="9.25" style="2"/>
    <col min="4865" max="4865" width="53.5" style="2" customWidth="1"/>
    <col min="4866" max="4871" width="17.25" style="2" customWidth="1"/>
    <col min="4872" max="5120" width="9.25" style="2"/>
    <col min="5121" max="5121" width="53.5" style="2" customWidth="1"/>
    <col min="5122" max="5127" width="17.25" style="2" customWidth="1"/>
    <col min="5128" max="5376" width="9.25" style="2"/>
    <col min="5377" max="5377" width="53.5" style="2" customWidth="1"/>
    <col min="5378" max="5383" width="17.25" style="2" customWidth="1"/>
    <col min="5384" max="5632" width="9.25" style="2"/>
    <col min="5633" max="5633" width="53.5" style="2" customWidth="1"/>
    <col min="5634" max="5639" width="17.25" style="2" customWidth="1"/>
    <col min="5640" max="5888" width="9.25" style="2"/>
    <col min="5889" max="5889" width="53.5" style="2" customWidth="1"/>
    <col min="5890" max="5895" width="17.25" style="2" customWidth="1"/>
    <col min="5896" max="6144" width="9.25" style="2"/>
    <col min="6145" max="6145" width="53.5" style="2" customWidth="1"/>
    <col min="6146" max="6151" width="17.25" style="2" customWidth="1"/>
    <col min="6152" max="6400" width="9.25" style="2"/>
    <col min="6401" max="6401" width="53.5" style="2" customWidth="1"/>
    <col min="6402" max="6407" width="17.25" style="2" customWidth="1"/>
    <col min="6408" max="6656" width="9.25" style="2"/>
    <col min="6657" max="6657" width="53.5" style="2" customWidth="1"/>
    <col min="6658" max="6663" width="17.25" style="2" customWidth="1"/>
    <col min="6664" max="6912" width="9.25" style="2"/>
    <col min="6913" max="6913" width="53.5" style="2" customWidth="1"/>
    <col min="6914" max="6919" width="17.25" style="2" customWidth="1"/>
    <col min="6920" max="7168" width="9.25" style="2"/>
    <col min="7169" max="7169" width="53.5" style="2" customWidth="1"/>
    <col min="7170" max="7175" width="17.25" style="2" customWidth="1"/>
    <col min="7176" max="7424" width="9.25" style="2"/>
    <col min="7425" max="7425" width="53.5" style="2" customWidth="1"/>
    <col min="7426" max="7431" width="17.25" style="2" customWidth="1"/>
    <col min="7432" max="7680" width="9.25" style="2"/>
    <col min="7681" max="7681" width="53.5" style="2" customWidth="1"/>
    <col min="7682" max="7687" width="17.25" style="2" customWidth="1"/>
    <col min="7688" max="7936" width="9.25" style="2"/>
    <col min="7937" max="7937" width="53.5" style="2" customWidth="1"/>
    <col min="7938" max="7943" width="17.25" style="2" customWidth="1"/>
    <col min="7944" max="8192" width="9.25" style="2"/>
    <col min="8193" max="8193" width="53.5" style="2" customWidth="1"/>
    <col min="8194" max="8199" width="17.25" style="2" customWidth="1"/>
    <col min="8200" max="8448" width="9.25" style="2"/>
    <col min="8449" max="8449" width="53.5" style="2" customWidth="1"/>
    <col min="8450" max="8455" width="17.25" style="2" customWidth="1"/>
    <col min="8456" max="8704" width="9.25" style="2"/>
    <col min="8705" max="8705" width="53.5" style="2" customWidth="1"/>
    <col min="8706" max="8711" width="17.25" style="2" customWidth="1"/>
    <col min="8712" max="8960" width="9.25" style="2"/>
    <col min="8961" max="8961" width="53.5" style="2" customWidth="1"/>
    <col min="8962" max="8967" width="17.25" style="2" customWidth="1"/>
    <col min="8968" max="9216" width="9.25" style="2"/>
    <col min="9217" max="9217" width="53.5" style="2" customWidth="1"/>
    <col min="9218" max="9223" width="17.25" style="2" customWidth="1"/>
    <col min="9224" max="9472" width="9.25" style="2"/>
    <col min="9473" max="9473" width="53.5" style="2" customWidth="1"/>
    <col min="9474" max="9479" width="17.25" style="2" customWidth="1"/>
    <col min="9480" max="9728" width="9.25" style="2"/>
    <col min="9729" max="9729" width="53.5" style="2" customWidth="1"/>
    <col min="9730" max="9735" width="17.25" style="2" customWidth="1"/>
    <col min="9736" max="9984" width="9.25" style="2"/>
    <col min="9985" max="9985" width="53.5" style="2" customWidth="1"/>
    <col min="9986" max="9991" width="17.25" style="2" customWidth="1"/>
    <col min="9992" max="10240" width="9.25" style="2"/>
    <col min="10241" max="10241" width="53.5" style="2" customWidth="1"/>
    <col min="10242" max="10247" width="17.25" style="2" customWidth="1"/>
    <col min="10248" max="10496" width="9.25" style="2"/>
    <col min="10497" max="10497" width="53.5" style="2" customWidth="1"/>
    <col min="10498" max="10503" width="17.25" style="2" customWidth="1"/>
    <col min="10504" max="10752" width="9.25" style="2"/>
    <col min="10753" max="10753" width="53.5" style="2" customWidth="1"/>
    <col min="10754" max="10759" width="17.25" style="2" customWidth="1"/>
    <col min="10760" max="11008" width="9.25" style="2"/>
    <col min="11009" max="11009" width="53.5" style="2" customWidth="1"/>
    <col min="11010" max="11015" width="17.25" style="2" customWidth="1"/>
    <col min="11016" max="11264" width="9.25" style="2"/>
    <col min="11265" max="11265" width="53.5" style="2" customWidth="1"/>
    <col min="11266" max="11271" width="17.25" style="2" customWidth="1"/>
    <col min="11272" max="11520" width="9.25" style="2"/>
    <col min="11521" max="11521" width="53.5" style="2" customWidth="1"/>
    <col min="11522" max="11527" width="17.25" style="2" customWidth="1"/>
    <col min="11528" max="11776" width="9.25" style="2"/>
    <col min="11777" max="11777" width="53.5" style="2" customWidth="1"/>
    <col min="11778" max="11783" width="17.25" style="2" customWidth="1"/>
    <col min="11784" max="12032" width="9.25" style="2"/>
    <col min="12033" max="12033" width="53.5" style="2" customWidth="1"/>
    <col min="12034" max="12039" width="17.25" style="2" customWidth="1"/>
    <col min="12040" max="12288" width="9.25" style="2"/>
    <col min="12289" max="12289" width="53.5" style="2" customWidth="1"/>
    <col min="12290" max="12295" width="17.25" style="2" customWidth="1"/>
    <col min="12296" max="12544" width="9.25" style="2"/>
    <col min="12545" max="12545" width="53.5" style="2" customWidth="1"/>
    <col min="12546" max="12551" width="17.25" style="2" customWidth="1"/>
    <col min="12552" max="12800" width="9.25" style="2"/>
    <col min="12801" max="12801" width="53.5" style="2" customWidth="1"/>
    <col min="12802" max="12807" width="17.25" style="2" customWidth="1"/>
    <col min="12808" max="13056" width="9.25" style="2"/>
    <col min="13057" max="13057" width="53.5" style="2" customWidth="1"/>
    <col min="13058" max="13063" width="17.25" style="2" customWidth="1"/>
    <col min="13064" max="13312" width="9.25" style="2"/>
    <col min="13313" max="13313" width="53.5" style="2" customWidth="1"/>
    <col min="13314" max="13319" width="17.25" style="2" customWidth="1"/>
    <col min="13320" max="13568" width="9.25" style="2"/>
    <col min="13569" max="13569" width="53.5" style="2" customWidth="1"/>
    <col min="13570" max="13575" width="17.25" style="2" customWidth="1"/>
    <col min="13576" max="13824" width="9.25" style="2"/>
    <col min="13825" max="13825" width="53.5" style="2" customWidth="1"/>
    <col min="13826" max="13831" width="17.25" style="2" customWidth="1"/>
    <col min="13832" max="14080" width="9.25" style="2"/>
    <col min="14081" max="14081" width="53.5" style="2" customWidth="1"/>
    <col min="14082" max="14087" width="17.25" style="2" customWidth="1"/>
    <col min="14088" max="14336" width="9.25" style="2"/>
    <col min="14337" max="14337" width="53.5" style="2" customWidth="1"/>
    <col min="14338" max="14343" width="17.25" style="2" customWidth="1"/>
    <col min="14344" max="14592" width="9.25" style="2"/>
    <col min="14593" max="14593" width="53.5" style="2" customWidth="1"/>
    <col min="14594" max="14599" width="17.25" style="2" customWidth="1"/>
    <col min="14600" max="14848" width="9.25" style="2"/>
    <col min="14849" max="14849" width="53.5" style="2" customWidth="1"/>
    <col min="14850" max="14855" width="17.25" style="2" customWidth="1"/>
    <col min="14856" max="15104" width="9.25" style="2"/>
    <col min="15105" max="15105" width="53.5" style="2" customWidth="1"/>
    <col min="15106" max="15111" width="17.25" style="2" customWidth="1"/>
    <col min="15112" max="15360" width="9.25" style="2"/>
    <col min="15361" max="15361" width="53.5" style="2" customWidth="1"/>
    <col min="15362" max="15367" width="17.25" style="2" customWidth="1"/>
    <col min="15368" max="15616" width="9.25" style="2"/>
    <col min="15617" max="15617" width="53.5" style="2" customWidth="1"/>
    <col min="15618" max="15623" width="17.25" style="2" customWidth="1"/>
    <col min="15624" max="15872" width="9.25" style="2"/>
    <col min="15873" max="15873" width="53.5" style="2" customWidth="1"/>
    <col min="15874" max="15879" width="17.25" style="2" customWidth="1"/>
    <col min="15880" max="16128" width="9.25" style="2"/>
    <col min="16129" max="16129" width="53.5" style="2" customWidth="1"/>
    <col min="16130" max="16135" width="17.25" style="2" customWidth="1"/>
    <col min="16136" max="16384" width="9.25" style="2"/>
  </cols>
  <sheetData>
    <row r="5" spans="1:255" ht="17" x14ac:dyDescent="0.2">
      <c r="A5" s="1" t="s">
        <v>155</v>
      </c>
    </row>
    <row r="7" spans="1:255" ht="12" x14ac:dyDescent="0.15">
      <c r="A7" s="3" t="s">
        <v>68</v>
      </c>
      <c r="B7" s="4" t="s">
        <v>69</v>
      </c>
      <c r="C7" s="2" t="s">
        <v>70</v>
      </c>
      <c r="D7" s="5" t="s">
        <v>4</v>
      </c>
      <c r="E7" s="4" t="s">
        <v>71</v>
      </c>
      <c r="F7" s="2" t="s">
        <v>72</v>
      </c>
    </row>
    <row r="8" spans="1:255" x14ac:dyDescent="0.15">
      <c r="A8" s="5"/>
      <c r="B8" s="4" t="s">
        <v>73</v>
      </c>
      <c r="C8" s="2" t="s">
        <v>74</v>
      </c>
      <c r="D8" s="5" t="s">
        <v>4</v>
      </c>
      <c r="E8" s="4" t="s">
        <v>7</v>
      </c>
      <c r="F8" s="2" t="s">
        <v>8</v>
      </c>
    </row>
    <row r="9" spans="1:255" x14ac:dyDescent="0.15">
      <c r="A9" s="5"/>
      <c r="B9" s="4" t="s">
        <v>2</v>
      </c>
      <c r="C9" s="2" t="s">
        <v>75</v>
      </c>
      <c r="D9" s="5" t="s">
        <v>4</v>
      </c>
      <c r="E9" s="4" t="s">
        <v>5</v>
      </c>
      <c r="F9" s="2" t="s">
        <v>6</v>
      </c>
    </row>
    <row r="10" spans="1:255" x14ac:dyDescent="0.15">
      <c r="A10" s="5"/>
      <c r="B10" s="4" t="s">
        <v>9</v>
      </c>
      <c r="C10" s="2" t="s">
        <v>10</v>
      </c>
      <c r="D10" s="5" t="s">
        <v>4</v>
      </c>
      <c r="E10" s="4" t="s">
        <v>11</v>
      </c>
      <c r="F10" s="6" t="s">
        <v>12</v>
      </c>
    </row>
    <row r="13" spans="1:255" x14ac:dyDescent="0.15">
      <c r="A13" s="7" t="s">
        <v>156</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24" x14ac:dyDescent="0.15">
      <c r="A14" s="9" t="s">
        <v>157</v>
      </c>
      <c r="B14" s="32">
        <v>42004</v>
      </c>
      <c r="C14" s="32">
        <v>42369</v>
      </c>
      <c r="D14" s="32">
        <v>42735</v>
      </c>
      <c r="E14" s="32">
        <v>43100</v>
      </c>
      <c r="F14" s="32">
        <v>43465</v>
      </c>
      <c r="G14" s="32">
        <v>43738</v>
      </c>
    </row>
    <row r="15" spans="1:255" ht="12" x14ac:dyDescent="0.15">
      <c r="A15" s="11" t="s">
        <v>23</v>
      </c>
      <c r="B15" s="12" t="s">
        <v>24</v>
      </c>
      <c r="C15" s="12" t="s">
        <v>24</v>
      </c>
      <c r="D15" s="12" t="s">
        <v>24</v>
      </c>
      <c r="E15" s="12" t="s">
        <v>24</v>
      </c>
      <c r="F15" s="12" t="s">
        <v>24</v>
      </c>
      <c r="G15" s="12" t="s">
        <v>24</v>
      </c>
    </row>
    <row r="16" spans="1:255" x14ac:dyDescent="0.15">
      <c r="A16" s="13" t="s">
        <v>158</v>
      </c>
      <c r="B16" s="14"/>
      <c r="C16" s="14"/>
      <c r="D16" s="14"/>
      <c r="E16" s="14"/>
      <c r="F16" s="14"/>
      <c r="G16" s="14"/>
    </row>
    <row r="17" spans="1:7" x14ac:dyDescent="0.15">
      <c r="A17" s="14" t="s">
        <v>159</v>
      </c>
      <c r="B17" s="20">
        <v>70.900000000000006</v>
      </c>
      <c r="C17" s="20">
        <v>51.8</v>
      </c>
      <c r="D17" s="20">
        <v>35.200000000000003</v>
      </c>
      <c r="E17" s="20">
        <v>60.1</v>
      </c>
      <c r="F17" s="20">
        <v>32.700000000000003</v>
      </c>
      <c r="G17" s="20">
        <v>47</v>
      </c>
    </row>
    <row r="18" spans="1:7" x14ac:dyDescent="0.15">
      <c r="A18" s="13" t="s">
        <v>160</v>
      </c>
      <c r="B18" s="26">
        <v>70.900000000000006</v>
      </c>
      <c r="C18" s="26">
        <v>51.8</v>
      </c>
      <c r="D18" s="26">
        <v>35.200000000000003</v>
      </c>
      <c r="E18" s="26">
        <v>60.1</v>
      </c>
      <c r="F18" s="26">
        <v>32.700000000000003</v>
      </c>
      <c r="G18" s="26">
        <v>47</v>
      </c>
    </row>
    <row r="19" spans="1:7" x14ac:dyDescent="0.15">
      <c r="A19" s="14"/>
      <c r="B19" s="14"/>
      <c r="C19" s="14"/>
      <c r="D19" s="14"/>
      <c r="E19" s="14"/>
      <c r="F19" s="14"/>
      <c r="G19" s="14"/>
    </row>
    <row r="20" spans="1:7" x14ac:dyDescent="0.15">
      <c r="A20" s="14" t="s">
        <v>161</v>
      </c>
      <c r="B20" s="20">
        <v>233.5</v>
      </c>
      <c r="C20" s="20">
        <v>234</v>
      </c>
      <c r="D20" s="20">
        <v>245.6</v>
      </c>
      <c r="E20" s="20">
        <v>248.7</v>
      </c>
      <c r="F20" s="20">
        <v>311.39999999999998</v>
      </c>
      <c r="G20" s="20">
        <v>345.3</v>
      </c>
    </row>
    <row r="21" spans="1:7" x14ac:dyDescent="0.15">
      <c r="A21" s="13" t="s">
        <v>162</v>
      </c>
      <c r="B21" s="26">
        <v>233.5</v>
      </c>
      <c r="C21" s="26">
        <v>234</v>
      </c>
      <c r="D21" s="26">
        <v>245.6</v>
      </c>
      <c r="E21" s="26">
        <v>248.7</v>
      </c>
      <c r="F21" s="26">
        <v>311.39999999999998</v>
      </c>
      <c r="G21" s="26">
        <v>345.3</v>
      </c>
    </row>
    <row r="22" spans="1:7" x14ac:dyDescent="0.15">
      <c r="A22" s="14"/>
      <c r="B22" s="14"/>
      <c r="C22" s="14"/>
      <c r="D22" s="14"/>
      <c r="E22" s="14"/>
      <c r="F22" s="14"/>
      <c r="G22" s="14"/>
    </row>
    <row r="23" spans="1:7" x14ac:dyDescent="0.15">
      <c r="A23" s="14" t="s">
        <v>163</v>
      </c>
      <c r="B23" s="20">
        <v>290.10000000000002</v>
      </c>
      <c r="C23" s="20">
        <v>307.2</v>
      </c>
      <c r="D23" s="20">
        <v>291</v>
      </c>
      <c r="E23" s="20">
        <v>314</v>
      </c>
      <c r="F23" s="20">
        <v>297.8</v>
      </c>
      <c r="G23" s="20">
        <v>352.2</v>
      </c>
    </row>
    <row r="24" spans="1:7" x14ac:dyDescent="0.15">
      <c r="A24" s="14" t="s">
        <v>164</v>
      </c>
      <c r="B24" s="20">
        <v>15.5</v>
      </c>
      <c r="C24" s="20">
        <v>40.799999999999997</v>
      </c>
      <c r="D24" s="20">
        <v>35.200000000000003</v>
      </c>
      <c r="E24" s="20">
        <v>33.9</v>
      </c>
      <c r="F24" s="20">
        <v>33.9</v>
      </c>
      <c r="G24" s="20">
        <v>27.1</v>
      </c>
    </row>
    <row r="25" spans="1:7" ht="12" x14ac:dyDescent="0.15">
      <c r="A25" s="14" t="s">
        <v>165</v>
      </c>
      <c r="B25" s="20">
        <v>71.7</v>
      </c>
      <c r="C25" s="20" t="s">
        <v>48</v>
      </c>
      <c r="D25" s="20" t="s">
        <v>48</v>
      </c>
      <c r="E25" s="20" t="s">
        <v>48</v>
      </c>
      <c r="F25" s="20" t="s">
        <v>48</v>
      </c>
      <c r="G25" s="20" t="s">
        <v>48</v>
      </c>
    </row>
    <row r="26" spans="1:7" ht="12" x14ac:dyDescent="0.15">
      <c r="A26" s="14" t="s">
        <v>166</v>
      </c>
      <c r="B26" s="20" t="s">
        <v>48</v>
      </c>
      <c r="C26" s="20" t="s">
        <v>48</v>
      </c>
      <c r="D26" s="20" t="s">
        <v>48</v>
      </c>
      <c r="E26" s="20" t="s">
        <v>48</v>
      </c>
      <c r="F26" s="20" t="s">
        <v>48</v>
      </c>
      <c r="G26" s="20" t="s">
        <v>48</v>
      </c>
    </row>
    <row r="27" spans="1:7" x14ac:dyDescent="0.15">
      <c r="A27" s="13" t="s">
        <v>167</v>
      </c>
      <c r="B27" s="26">
        <v>681.7</v>
      </c>
      <c r="C27" s="26">
        <v>633.79999999999995</v>
      </c>
      <c r="D27" s="26">
        <v>607</v>
      </c>
      <c r="E27" s="26">
        <v>656.7</v>
      </c>
      <c r="F27" s="26">
        <v>675.8</v>
      </c>
      <c r="G27" s="26">
        <v>771.6</v>
      </c>
    </row>
    <row r="28" spans="1:7" x14ac:dyDescent="0.15">
      <c r="A28" s="14"/>
      <c r="B28" s="14"/>
      <c r="C28" s="14"/>
      <c r="D28" s="14"/>
      <c r="E28" s="14"/>
      <c r="F28" s="14"/>
      <c r="G28" s="14"/>
    </row>
    <row r="29" spans="1:7" x14ac:dyDescent="0.15">
      <c r="A29" s="14" t="s">
        <v>168</v>
      </c>
      <c r="B29" s="20">
        <v>1868.7</v>
      </c>
      <c r="C29" s="20">
        <v>2099.4</v>
      </c>
      <c r="D29" s="20">
        <v>2378.4</v>
      </c>
      <c r="E29" s="20">
        <v>2743.9</v>
      </c>
      <c r="F29" s="20">
        <v>2839.9</v>
      </c>
      <c r="G29" s="20">
        <v>3082</v>
      </c>
    </row>
    <row r="30" spans="1:7" x14ac:dyDescent="0.15">
      <c r="A30" s="14" t="s">
        <v>169</v>
      </c>
      <c r="B30" s="20">
        <v>-630.5</v>
      </c>
      <c r="C30" s="20">
        <v>-673.8</v>
      </c>
      <c r="D30" s="20">
        <v>-752.8</v>
      </c>
      <c r="E30" s="20">
        <v>-877.6</v>
      </c>
      <c r="F30" s="20">
        <v>-963.4</v>
      </c>
      <c r="G30" s="20">
        <v>-1090.8</v>
      </c>
    </row>
    <row r="31" spans="1:7" x14ac:dyDescent="0.15">
      <c r="A31" s="13" t="s">
        <v>170</v>
      </c>
      <c r="B31" s="26">
        <v>1238.2</v>
      </c>
      <c r="C31" s="26">
        <v>1425.6</v>
      </c>
      <c r="D31" s="26">
        <v>1625.6</v>
      </c>
      <c r="E31" s="26">
        <v>1866.3</v>
      </c>
      <c r="F31" s="26">
        <v>1876.5</v>
      </c>
      <c r="G31" s="26">
        <v>1991.2</v>
      </c>
    </row>
    <row r="32" spans="1:7" x14ac:dyDescent="0.15">
      <c r="A32" s="13"/>
      <c r="B32" s="147"/>
      <c r="C32" s="147"/>
      <c r="D32" s="147"/>
      <c r="E32" s="147"/>
      <c r="F32" s="147"/>
      <c r="G32" s="147"/>
    </row>
    <row r="33" spans="1:17" x14ac:dyDescent="0.15">
      <c r="A33" s="14" t="s">
        <v>379</v>
      </c>
      <c r="B33" s="148">
        <f>B31/'Income Statement'!B19</f>
        <v>0.66731339261654543</v>
      </c>
      <c r="C33" s="148">
        <f>C31/'Income Statement'!C19</f>
        <v>0.76595744680851052</v>
      </c>
      <c r="D33" s="148">
        <f>D31/'Income Statement'!D19</f>
        <v>0.81105622910741904</v>
      </c>
      <c r="E33" s="148">
        <f>E31/'Income Statement'!E19</f>
        <v>0.94577611108295745</v>
      </c>
      <c r="F33" s="148">
        <f>F31/'Income Statement'!F19</f>
        <v>0.85720158969439497</v>
      </c>
      <c r="G33" s="148">
        <f>G31/'Income Statement'!G19</f>
        <v>0.84645468457745277</v>
      </c>
    </row>
    <row r="34" spans="1:17" x14ac:dyDescent="0.15">
      <c r="A34" s="14" t="s">
        <v>380</v>
      </c>
      <c r="B34" s="145">
        <f>'Income Statement'!B19/'Balance Sheet'!B31</f>
        <v>1.498546276853497</v>
      </c>
      <c r="C34" s="145">
        <f>'Income Statement'!C19/'Balance Sheet'!C31</f>
        <v>1.3055555555555556</v>
      </c>
      <c r="D34" s="145">
        <f>'Income Statement'!D19/'Balance Sheet'!D31</f>
        <v>1.2329601377952757</v>
      </c>
      <c r="E34" s="145">
        <f>'Income Statement'!E19/'Balance Sheet'!E31</f>
        <v>1.0573326903498901</v>
      </c>
      <c r="F34" s="145">
        <f>'Income Statement'!F19/'Balance Sheet'!F31</f>
        <v>1.1665867306155076</v>
      </c>
      <c r="G34" s="145">
        <f>'Income Statement'!G19/'Balance Sheet'!G31</f>
        <v>1.1813981518682202</v>
      </c>
    </row>
    <row r="35" spans="1:17" x14ac:dyDescent="0.15">
      <c r="A35" s="14"/>
      <c r="B35" s="145"/>
      <c r="C35" s="145"/>
      <c r="D35" s="145"/>
      <c r="E35" s="145"/>
      <c r="F35" s="145"/>
      <c r="G35" s="145"/>
    </row>
    <row r="36" spans="1:17" x14ac:dyDescent="0.15">
      <c r="A36" s="14"/>
      <c r="B36" s="145"/>
      <c r="C36" s="145"/>
      <c r="D36" s="145"/>
      <c r="E36" s="145"/>
      <c r="F36" s="145"/>
      <c r="G36" s="145"/>
    </row>
    <row r="37" spans="1:17" x14ac:dyDescent="0.15">
      <c r="A37" s="14"/>
      <c r="B37" s="145"/>
      <c r="C37" s="145"/>
      <c r="D37" s="145"/>
      <c r="E37" s="145"/>
      <c r="F37" s="145"/>
      <c r="G37" s="145"/>
    </row>
    <row r="38" spans="1:17" x14ac:dyDescent="0.15">
      <c r="A38" s="14" t="s">
        <v>171</v>
      </c>
      <c r="B38" s="20">
        <v>34.200000000000003</v>
      </c>
      <c r="C38" s="20">
        <v>30.4</v>
      </c>
      <c r="D38" s="20">
        <v>53.8</v>
      </c>
      <c r="E38" s="20">
        <v>48.5</v>
      </c>
      <c r="F38" s="20">
        <v>49.3</v>
      </c>
      <c r="G38" s="20">
        <v>45.8</v>
      </c>
      <c r="I38" s="94"/>
      <c r="J38" s="94"/>
    </row>
    <row r="39" spans="1:17" ht="12" x14ac:dyDescent="0.15">
      <c r="A39" s="14" t="s">
        <v>172</v>
      </c>
      <c r="B39" s="20" t="s">
        <v>48</v>
      </c>
      <c r="C39" s="20" t="s">
        <v>48</v>
      </c>
      <c r="D39" s="20" t="s">
        <v>48</v>
      </c>
      <c r="E39" s="20" t="s">
        <v>48</v>
      </c>
      <c r="F39" s="20">
        <v>107.7</v>
      </c>
      <c r="G39" s="20" t="s">
        <v>48</v>
      </c>
      <c r="J39" s="98" t="s">
        <v>271</v>
      </c>
    </row>
    <row r="40" spans="1:17" x14ac:dyDescent="0.15">
      <c r="A40" s="14" t="s">
        <v>173</v>
      </c>
      <c r="B40" s="20">
        <v>59.8</v>
      </c>
      <c r="C40" s="20">
        <v>58.9</v>
      </c>
      <c r="D40" s="20">
        <v>72.2</v>
      </c>
      <c r="E40" s="20">
        <v>148.69999999999999</v>
      </c>
      <c r="F40" s="20">
        <v>34.6</v>
      </c>
      <c r="G40" s="20">
        <v>279.39999999999998</v>
      </c>
      <c r="I40" s="97"/>
    </row>
    <row r="41" spans="1:17" ht="12" x14ac:dyDescent="0.15">
      <c r="A41" s="14" t="s">
        <v>174</v>
      </c>
      <c r="B41" s="20">
        <v>8.5</v>
      </c>
      <c r="C41" s="20">
        <v>15.7</v>
      </c>
      <c r="D41" s="20">
        <v>8.9</v>
      </c>
      <c r="E41" s="20">
        <v>14.3</v>
      </c>
      <c r="F41" s="20">
        <v>32.1</v>
      </c>
      <c r="G41" s="20" t="s">
        <v>48</v>
      </c>
      <c r="J41" s="96" t="s">
        <v>318</v>
      </c>
      <c r="L41" s="93">
        <v>0.21</v>
      </c>
    </row>
    <row r="42" spans="1:17" x14ac:dyDescent="0.15">
      <c r="A42" s="14" t="s">
        <v>175</v>
      </c>
      <c r="B42" s="20">
        <v>14</v>
      </c>
      <c r="C42" s="20">
        <v>23</v>
      </c>
      <c r="D42" s="20">
        <v>33.1</v>
      </c>
      <c r="E42" s="20">
        <v>46.4</v>
      </c>
      <c r="F42" s="20">
        <v>48.1</v>
      </c>
      <c r="G42" s="20">
        <v>67.2</v>
      </c>
    </row>
    <row r="43" spans="1:17" ht="12" thickBot="1" x14ac:dyDescent="0.2">
      <c r="A43" s="13" t="s">
        <v>176</v>
      </c>
      <c r="B43" s="27">
        <v>2036.4</v>
      </c>
      <c r="C43" s="27">
        <v>2187.4</v>
      </c>
      <c r="D43" s="27">
        <v>2400.6</v>
      </c>
      <c r="E43" s="27">
        <v>2780.9</v>
      </c>
      <c r="F43" s="27">
        <v>2824.1</v>
      </c>
      <c r="G43" s="27">
        <v>3155.2</v>
      </c>
      <c r="J43" s="101"/>
      <c r="K43" s="101"/>
      <c r="L43" s="104">
        <v>2014</v>
      </c>
      <c r="M43" s="104">
        <f>L43+1</f>
        <v>2015</v>
      </c>
      <c r="N43" s="104">
        <f t="shared" ref="N43:Q43" si="0">M43+1</f>
        <v>2016</v>
      </c>
      <c r="O43" s="104">
        <f t="shared" si="0"/>
        <v>2017</v>
      </c>
      <c r="P43" s="104">
        <f t="shared" si="0"/>
        <v>2018</v>
      </c>
      <c r="Q43" s="104">
        <f t="shared" si="0"/>
        <v>2019</v>
      </c>
    </row>
    <row r="44" spans="1:17" ht="12" thickTop="1" x14ac:dyDescent="0.15">
      <c r="A44" s="14"/>
      <c r="B44" s="14"/>
      <c r="C44" s="14"/>
      <c r="D44" s="14"/>
      <c r="E44" s="14"/>
      <c r="F44" s="14"/>
      <c r="G44" s="14"/>
      <c r="J44" s="96" t="s">
        <v>309</v>
      </c>
      <c r="L44" s="100">
        <f t="shared" ref="L44:Q44" si="1">B27-B52+B49+B50</f>
        <v>371.1</v>
      </c>
      <c r="M44" s="100">
        <f t="shared" si="1"/>
        <v>341.19999999999993</v>
      </c>
      <c r="N44" s="100">
        <f t="shared" si="1"/>
        <v>339.40000000000003</v>
      </c>
      <c r="O44" s="100">
        <f t="shared" si="1"/>
        <v>398.90000000000003</v>
      </c>
      <c r="P44" s="100">
        <f t="shared" si="1"/>
        <v>358.5</v>
      </c>
      <c r="Q44" s="100">
        <f t="shared" si="1"/>
        <v>446.40000000000003</v>
      </c>
    </row>
    <row r="45" spans="1:17" x14ac:dyDescent="0.15">
      <c r="A45" s="13" t="s">
        <v>177</v>
      </c>
      <c r="B45" s="14"/>
      <c r="C45" s="14"/>
      <c r="D45" s="14"/>
      <c r="E45" s="14"/>
      <c r="F45" s="14"/>
      <c r="G45" s="14"/>
      <c r="J45" s="96" t="s">
        <v>321</v>
      </c>
      <c r="L45" s="103">
        <f t="shared" ref="L45:Q45" si="2">B31</f>
        <v>1238.2</v>
      </c>
      <c r="M45" s="103">
        <f t="shared" si="2"/>
        <v>1425.6</v>
      </c>
      <c r="N45" s="103">
        <f t="shared" si="2"/>
        <v>1625.6</v>
      </c>
      <c r="O45" s="103">
        <f t="shared" si="2"/>
        <v>1866.3</v>
      </c>
      <c r="P45" s="103">
        <f t="shared" si="2"/>
        <v>1876.5</v>
      </c>
      <c r="Q45" s="103">
        <f t="shared" si="2"/>
        <v>1991.2</v>
      </c>
    </row>
    <row r="46" spans="1:17" x14ac:dyDescent="0.15">
      <c r="A46" s="14" t="s">
        <v>178</v>
      </c>
      <c r="B46" s="20">
        <v>175</v>
      </c>
      <c r="C46" s="20">
        <v>148.9</v>
      </c>
      <c r="D46" s="20">
        <v>137.30000000000001</v>
      </c>
      <c r="E46" s="20">
        <v>144.1</v>
      </c>
      <c r="F46" s="20">
        <v>161.9</v>
      </c>
      <c r="G46" s="20">
        <v>164.5</v>
      </c>
      <c r="J46" s="96" t="s">
        <v>325</v>
      </c>
      <c r="L46" s="103">
        <f t="shared" ref="L46:Q46" si="3">B18</f>
        <v>70.900000000000006</v>
      </c>
      <c r="M46" s="103">
        <f t="shared" si="3"/>
        <v>51.8</v>
      </c>
      <c r="N46" s="103">
        <f t="shared" si="3"/>
        <v>35.200000000000003</v>
      </c>
      <c r="O46" s="103">
        <f t="shared" si="3"/>
        <v>60.1</v>
      </c>
      <c r="P46" s="103">
        <f t="shared" si="3"/>
        <v>32.700000000000003</v>
      </c>
      <c r="Q46" s="103">
        <f t="shared" si="3"/>
        <v>47</v>
      </c>
    </row>
    <row r="47" spans="1:17" x14ac:dyDescent="0.15">
      <c r="A47" s="14" t="s">
        <v>179</v>
      </c>
      <c r="B47" s="20">
        <v>123</v>
      </c>
      <c r="C47" s="20">
        <v>137.6</v>
      </c>
      <c r="D47" s="20">
        <v>124.8</v>
      </c>
      <c r="E47" s="20">
        <v>110.1</v>
      </c>
      <c r="F47" s="20">
        <v>150.6</v>
      </c>
      <c r="G47" s="20">
        <v>154.1</v>
      </c>
      <c r="J47" s="98" t="s">
        <v>322</v>
      </c>
      <c r="K47" s="98"/>
      <c r="L47" s="102">
        <f t="shared" ref="L47:Q47" si="4">SUM(L44:L46)</f>
        <v>1680.2000000000003</v>
      </c>
      <c r="M47" s="102">
        <f t="shared" si="4"/>
        <v>1818.5999999999997</v>
      </c>
      <c r="N47" s="102">
        <f t="shared" si="4"/>
        <v>2000.2</v>
      </c>
      <c r="O47" s="102">
        <f t="shared" si="4"/>
        <v>2325.2999999999997</v>
      </c>
      <c r="P47" s="102">
        <f t="shared" si="4"/>
        <v>2267.6999999999998</v>
      </c>
      <c r="Q47" s="102">
        <f t="shared" si="4"/>
        <v>2484.6</v>
      </c>
    </row>
    <row r="48" spans="1:17" x14ac:dyDescent="0.15">
      <c r="A48" s="14" t="s">
        <v>180</v>
      </c>
      <c r="B48" s="20">
        <v>1.3</v>
      </c>
      <c r="C48" s="20">
        <v>0</v>
      </c>
      <c r="D48" s="20">
        <v>0</v>
      </c>
      <c r="E48" s="20">
        <v>0</v>
      </c>
      <c r="F48" s="20">
        <v>0</v>
      </c>
      <c r="G48" s="20">
        <v>0</v>
      </c>
      <c r="J48" s="96" t="s">
        <v>204</v>
      </c>
      <c r="L48" s="149">
        <f>B54+B48+B49+B50+B55</f>
        <v>416.3</v>
      </c>
      <c r="M48" s="149">
        <f t="shared" ref="M48:Q48" si="5">C54+C48+C49+C50+C55</f>
        <v>576.5</v>
      </c>
      <c r="N48" s="149">
        <f t="shared" si="5"/>
        <v>688.8</v>
      </c>
      <c r="O48" s="149">
        <f t="shared" si="5"/>
        <v>810.3</v>
      </c>
      <c r="P48" s="149">
        <f t="shared" si="5"/>
        <v>957.3</v>
      </c>
      <c r="Q48" s="149">
        <f t="shared" si="5"/>
        <v>1192</v>
      </c>
    </row>
    <row r="49" spans="1:17" x14ac:dyDescent="0.15">
      <c r="A49" s="14" t="s">
        <v>181</v>
      </c>
      <c r="B49" s="20">
        <v>0</v>
      </c>
      <c r="C49" s="20">
        <v>0</v>
      </c>
      <c r="D49" s="20">
        <v>3.8</v>
      </c>
      <c r="E49" s="20">
        <v>4.3</v>
      </c>
      <c r="F49" s="20">
        <v>9.1</v>
      </c>
      <c r="G49" s="20">
        <v>8.6999999999999993</v>
      </c>
      <c r="J49" s="150" t="s">
        <v>381</v>
      </c>
      <c r="L49" s="151">
        <f>L48/L47</f>
        <v>0.2477681228425187</v>
      </c>
      <c r="M49" s="151">
        <f t="shared" ref="M49:Q49" si="6">M48/M47</f>
        <v>0.31700208951941061</v>
      </c>
      <c r="N49" s="151">
        <f t="shared" si="6"/>
        <v>0.3443655634436556</v>
      </c>
      <c r="O49" s="151">
        <f t="shared" si="6"/>
        <v>0.34847116501096637</v>
      </c>
      <c r="P49" s="151">
        <f t="shared" si="6"/>
        <v>0.42214578647969309</v>
      </c>
      <c r="Q49" s="151">
        <f t="shared" si="6"/>
        <v>0.47975529260243099</v>
      </c>
    </row>
    <row r="50" spans="1:17" x14ac:dyDescent="0.15">
      <c r="A50" s="14" t="s">
        <v>182</v>
      </c>
      <c r="B50" s="20">
        <v>0</v>
      </c>
      <c r="C50" s="20">
        <v>0</v>
      </c>
      <c r="D50" s="20">
        <v>0.5</v>
      </c>
      <c r="E50" s="20">
        <v>0</v>
      </c>
      <c r="F50" s="20">
        <v>0.3</v>
      </c>
      <c r="G50" s="20">
        <v>13.1</v>
      </c>
    </row>
    <row r="51" spans="1:17" x14ac:dyDescent="0.15">
      <c r="A51" s="14" t="s">
        <v>183</v>
      </c>
      <c r="B51" s="20">
        <v>11.3</v>
      </c>
      <c r="C51" s="20">
        <v>6.1</v>
      </c>
      <c r="D51" s="20">
        <v>5.5</v>
      </c>
      <c r="E51" s="20">
        <v>3.6</v>
      </c>
      <c r="F51" s="20">
        <v>4.8</v>
      </c>
      <c r="G51" s="20">
        <v>6.6</v>
      </c>
      <c r="J51" s="96" t="s">
        <v>324</v>
      </c>
      <c r="L51" s="100">
        <f>'Income Statement'!B33*(1-$L$41)</f>
        <v>246.32200000000003</v>
      </c>
      <c r="M51" s="100">
        <f>'Income Statement'!C33*(1-$L$41)</f>
        <v>262.596</v>
      </c>
      <c r="N51" s="100">
        <f>'Income Statement'!D33*(1-$L$41)</f>
        <v>284.47900000000004</v>
      </c>
      <c r="O51" s="100">
        <f>'Income Statement'!E33*(1-$L$41)</f>
        <v>276.97400000000005</v>
      </c>
      <c r="P51" s="100">
        <f>'Income Statement'!F33*(1-$L$41)</f>
        <v>293.56400000000002</v>
      </c>
      <c r="Q51" s="100">
        <f>'Income Statement'!G33*(1-$L$41)</f>
        <v>334.96000000000004</v>
      </c>
    </row>
    <row r="52" spans="1:17" x14ac:dyDescent="0.15">
      <c r="A52" s="13" t="s">
        <v>184</v>
      </c>
      <c r="B52" s="26">
        <v>310.60000000000002</v>
      </c>
      <c r="C52" s="26">
        <v>292.60000000000002</v>
      </c>
      <c r="D52" s="26">
        <v>271.89999999999998</v>
      </c>
      <c r="E52" s="26">
        <v>262.10000000000002</v>
      </c>
      <c r="F52" s="26">
        <v>326.7</v>
      </c>
      <c r="G52" s="26">
        <v>347</v>
      </c>
      <c r="J52" s="98" t="s">
        <v>323</v>
      </c>
      <c r="L52" s="99">
        <f t="shared" ref="L52:Q52" si="7">L51/L47</f>
        <v>0.14660278538269253</v>
      </c>
      <c r="M52" s="99">
        <f t="shared" si="7"/>
        <v>0.14439458924447379</v>
      </c>
      <c r="N52" s="99">
        <f t="shared" si="7"/>
        <v>0.1422252774722528</v>
      </c>
      <c r="O52" s="99">
        <f t="shared" si="7"/>
        <v>0.11911323270115687</v>
      </c>
      <c r="P52" s="99">
        <f t="shared" si="7"/>
        <v>0.12945451338360456</v>
      </c>
      <c r="Q52" s="99">
        <f t="shared" si="7"/>
        <v>0.13481445705546166</v>
      </c>
    </row>
    <row r="53" spans="1:17" x14ac:dyDescent="0.15">
      <c r="A53" s="14"/>
      <c r="B53" s="14"/>
      <c r="C53" s="14"/>
      <c r="D53" s="14"/>
      <c r="E53" s="14"/>
      <c r="F53" s="14"/>
      <c r="G53" s="14"/>
    </row>
    <row r="54" spans="1:17" x14ac:dyDescent="0.15">
      <c r="A54" s="14" t="s">
        <v>185</v>
      </c>
      <c r="B54" s="20">
        <v>415</v>
      </c>
      <c r="C54" s="20">
        <v>576.5</v>
      </c>
      <c r="D54" s="20">
        <v>684.5</v>
      </c>
      <c r="E54" s="20">
        <v>805.9</v>
      </c>
      <c r="F54" s="20">
        <v>947.1</v>
      </c>
      <c r="G54" s="20">
        <v>1113.2</v>
      </c>
    </row>
    <row r="55" spans="1:17" x14ac:dyDescent="0.15">
      <c r="A55" s="14" t="s">
        <v>186</v>
      </c>
      <c r="B55" s="20">
        <v>0</v>
      </c>
      <c r="C55" s="20">
        <v>0</v>
      </c>
      <c r="D55" s="20">
        <v>0</v>
      </c>
      <c r="E55" s="20">
        <v>0.1</v>
      </c>
      <c r="F55" s="20">
        <v>0.8</v>
      </c>
      <c r="G55" s="20">
        <v>57</v>
      </c>
      <c r="J55" s="98" t="s">
        <v>364</v>
      </c>
      <c r="L55" s="93">
        <v>0.25</v>
      </c>
    </row>
    <row r="56" spans="1:17" x14ac:dyDescent="0.15">
      <c r="A56" s="14" t="s">
        <v>187</v>
      </c>
      <c r="B56" s="20">
        <v>37.4</v>
      </c>
      <c r="C56" s="20">
        <v>37.299999999999997</v>
      </c>
      <c r="D56" s="20">
        <v>38.799999999999997</v>
      </c>
      <c r="E56" s="20">
        <v>40.1</v>
      </c>
      <c r="F56" s="20">
        <v>38.799999999999997</v>
      </c>
      <c r="G56" s="20">
        <v>38.799999999999997</v>
      </c>
    </row>
    <row r="57" spans="1:17" ht="12" thickBot="1" x14ac:dyDescent="0.2">
      <c r="A57" s="14" t="s">
        <v>188</v>
      </c>
      <c r="B57" s="20">
        <v>78.599999999999994</v>
      </c>
      <c r="C57" s="20">
        <v>64.3</v>
      </c>
      <c r="D57" s="20">
        <v>122.6</v>
      </c>
      <c r="E57" s="20">
        <v>128.69999999999999</v>
      </c>
      <c r="F57" s="20">
        <v>144.69999999999999</v>
      </c>
      <c r="G57" s="20">
        <v>0</v>
      </c>
      <c r="J57" s="101"/>
      <c r="K57" s="101"/>
      <c r="L57" s="104">
        <v>2014</v>
      </c>
      <c r="M57" s="104">
        <f>L57+1</f>
        <v>2015</v>
      </c>
      <c r="N57" s="104">
        <f t="shared" ref="N57:Q57" si="8">M57+1</f>
        <v>2016</v>
      </c>
      <c r="O57" s="104">
        <f t="shared" si="8"/>
        <v>2017</v>
      </c>
      <c r="P57" s="104">
        <f t="shared" si="8"/>
        <v>2018</v>
      </c>
      <c r="Q57" s="104">
        <f t="shared" si="8"/>
        <v>2019</v>
      </c>
    </row>
    <row r="58" spans="1:17" ht="12" thickTop="1" x14ac:dyDescent="0.15">
      <c r="A58" s="14" t="s">
        <v>189</v>
      </c>
      <c r="B58" s="20">
        <v>44.9</v>
      </c>
      <c r="C58" s="20">
        <v>37.1</v>
      </c>
      <c r="D58" s="20">
        <v>37.9</v>
      </c>
      <c r="E58" s="20">
        <v>48.9</v>
      </c>
      <c r="F58" s="20">
        <v>44</v>
      </c>
      <c r="G58" s="20">
        <v>181.4</v>
      </c>
      <c r="J58" s="96" t="s">
        <v>309</v>
      </c>
      <c r="L58" s="100">
        <f>'Balance Sheet (2)'!B26-'Balance Sheet (2)'!B47+'Balance Sheet (2)'!B43+'Balance Sheet (2)'!B44</f>
        <v>616689</v>
      </c>
      <c r="M58" s="100">
        <f>'Balance Sheet (2)'!C26-'Balance Sheet (2)'!C47+'Balance Sheet (2)'!C43+'Balance Sheet (2)'!C44</f>
        <v>628668</v>
      </c>
      <c r="N58" s="100">
        <f>'Balance Sheet (2)'!D26-'Balance Sheet (2)'!D47+'Balance Sheet (2)'!D43+'Balance Sheet (2)'!D44</f>
        <v>657981</v>
      </c>
      <c r="O58" s="100">
        <f>'Balance Sheet (2)'!E26-'Balance Sheet (2)'!E47+'Balance Sheet (2)'!E43+'Balance Sheet (2)'!E44</f>
        <v>721050</v>
      </c>
      <c r="P58" s="100">
        <f>'Balance Sheet (2)'!F26-'Balance Sheet (2)'!F47+'Balance Sheet (2)'!F43+'Balance Sheet (2)'!F44</f>
        <v>764497</v>
      </c>
      <c r="Q58" s="100">
        <f>'Balance Sheet (2)'!G26-'Balance Sheet (2)'!G47+'Balance Sheet (2)'!G43+'Balance Sheet (2)'!G44</f>
        <v>740424</v>
      </c>
    </row>
    <row r="59" spans="1:17" x14ac:dyDescent="0.15">
      <c r="A59" s="13" t="s">
        <v>190</v>
      </c>
      <c r="B59" s="26">
        <v>886.5</v>
      </c>
      <c r="C59" s="26">
        <v>1007.8</v>
      </c>
      <c r="D59" s="26">
        <v>1155.7</v>
      </c>
      <c r="E59" s="26">
        <v>1285.8</v>
      </c>
      <c r="F59" s="26">
        <v>1502.1</v>
      </c>
      <c r="G59" s="26">
        <v>1737.4</v>
      </c>
      <c r="J59" s="96" t="s">
        <v>321</v>
      </c>
      <c r="L59" s="103">
        <f>'Balance Sheet (2)'!B28</f>
        <v>855593</v>
      </c>
      <c r="M59" s="103">
        <f>'Balance Sheet (2)'!C28</f>
        <v>830612</v>
      </c>
      <c r="N59" s="103">
        <f>'Balance Sheet (2)'!D28</f>
        <v>881434</v>
      </c>
      <c r="O59" s="103">
        <f>'Balance Sheet (2)'!E28</f>
        <v>927029</v>
      </c>
      <c r="P59" s="103">
        <f>'Balance Sheet (2)'!F28</f>
        <v>996876</v>
      </c>
      <c r="Q59" s="103">
        <f>'Balance Sheet (2)'!G28</f>
        <v>993450</v>
      </c>
    </row>
    <row r="60" spans="1:17" x14ac:dyDescent="0.15">
      <c r="A60" s="14"/>
      <c r="B60" s="14"/>
      <c r="C60" s="14"/>
      <c r="D60" s="14"/>
      <c r="E60" s="14"/>
      <c r="F60" s="14"/>
      <c r="G60" s="14"/>
      <c r="J60" s="96" t="s">
        <v>325</v>
      </c>
      <c r="L60" s="103">
        <f>'Balance Sheet (2)'!B18</f>
        <v>116193</v>
      </c>
      <c r="M60" s="103">
        <f>'Balance Sheet (2)'!C18</f>
        <v>120168</v>
      </c>
      <c r="N60" s="103">
        <f>'Balance Sheet (2)'!D18</f>
        <v>143111</v>
      </c>
      <c r="O60" s="103">
        <f>'Balance Sheet (2)'!E18</f>
        <v>141101</v>
      </c>
      <c r="P60" s="103">
        <f>'Balance Sheet (2)'!F18</f>
        <v>168507</v>
      </c>
      <c r="Q60" s="103">
        <f>'Balance Sheet (2)'!G18</f>
        <v>142013</v>
      </c>
    </row>
    <row r="61" spans="1:17" x14ac:dyDescent="0.15">
      <c r="A61" s="14" t="s">
        <v>191</v>
      </c>
      <c r="B61" s="20">
        <v>1</v>
      </c>
      <c r="C61" s="20">
        <v>1.1000000000000001</v>
      </c>
      <c r="D61" s="20">
        <v>1.1000000000000001</v>
      </c>
      <c r="E61" s="20">
        <v>1.1000000000000001</v>
      </c>
      <c r="F61" s="20">
        <v>1.1000000000000001</v>
      </c>
      <c r="G61" s="20">
        <v>1.1000000000000001</v>
      </c>
      <c r="J61" s="98" t="s">
        <v>322</v>
      </c>
      <c r="L61" s="102">
        <f t="shared" ref="L61:Q61" si="9">SUM(L58:L60)</f>
        <v>1588475</v>
      </c>
      <c r="M61" s="102">
        <f t="shared" si="9"/>
        <v>1579448</v>
      </c>
      <c r="N61" s="102">
        <f t="shared" si="9"/>
        <v>1682526</v>
      </c>
      <c r="O61" s="102">
        <f t="shared" si="9"/>
        <v>1789180</v>
      </c>
      <c r="P61" s="102">
        <f t="shared" si="9"/>
        <v>1929880</v>
      </c>
      <c r="Q61" s="102">
        <f t="shared" si="9"/>
        <v>1875887</v>
      </c>
    </row>
    <row r="62" spans="1:17" x14ac:dyDescent="0.15">
      <c r="A62" s="14" t="s">
        <v>192</v>
      </c>
      <c r="B62" s="20">
        <v>678.5</v>
      </c>
      <c r="C62" s="20">
        <v>715.8</v>
      </c>
      <c r="D62" s="20">
        <v>738.8</v>
      </c>
      <c r="E62" s="20">
        <v>774.3</v>
      </c>
      <c r="F62" s="20">
        <v>798.3</v>
      </c>
      <c r="G62" s="20">
        <v>826.7</v>
      </c>
    </row>
    <row r="63" spans="1:17" x14ac:dyDescent="0.15">
      <c r="A63" s="14" t="s">
        <v>193</v>
      </c>
      <c r="B63" s="20">
        <v>845.5</v>
      </c>
      <c r="C63" s="20">
        <v>1044.4000000000001</v>
      </c>
      <c r="D63" s="20">
        <v>1254.7</v>
      </c>
      <c r="E63" s="20">
        <v>1496.1</v>
      </c>
      <c r="F63" s="20">
        <v>1726.5</v>
      </c>
      <c r="G63" s="20">
        <v>1920</v>
      </c>
    </row>
    <row r="64" spans="1:17" x14ac:dyDescent="0.15">
      <c r="A64" s="14" t="s">
        <v>194</v>
      </c>
      <c r="B64" s="20">
        <v>-305.39999999999998</v>
      </c>
      <c r="C64" s="20">
        <v>-457.8</v>
      </c>
      <c r="D64" s="20">
        <v>-575.29999999999995</v>
      </c>
      <c r="E64" s="20">
        <v>-731.4</v>
      </c>
      <c r="F64" s="20">
        <v>-1095.9000000000001</v>
      </c>
      <c r="G64" s="20">
        <v>-1168.9000000000001</v>
      </c>
      <c r="J64" s="96" t="s">
        <v>324</v>
      </c>
      <c r="L64" s="100">
        <f>'Income Statement (2)'!B34*(1-'Balance Sheet'!$L$55)</f>
        <v>92610.75</v>
      </c>
      <c r="M64" s="100">
        <f>'Income Statement (2)'!C34*(1-'Balance Sheet'!$L$55)</f>
        <v>115860</v>
      </c>
      <c r="N64" s="100">
        <f>'Income Statement (2)'!D34*(1-'Balance Sheet'!$L$55)</f>
        <v>110169.75</v>
      </c>
      <c r="O64" s="100">
        <f>'Income Statement (2)'!E34*(1-'Balance Sheet'!$L$55)</f>
        <v>117348</v>
      </c>
      <c r="P64" s="100">
        <f>'Income Statement (2)'!F34*(1-'Balance Sheet'!$L$55)</f>
        <v>106101.75</v>
      </c>
      <c r="Q64" s="100">
        <f>'Income Statement (2)'!G34*(1-'Balance Sheet'!$L$55)</f>
        <v>101572.5</v>
      </c>
    </row>
    <row r="65" spans="1:17" x14ac:dyDescent="0.15">
      <c r="A65" s="14" t="s">
        <v>195</v>
      </c>
      <c r="B65" s="20">
        <v>-69.7</v>
      </c>
      <c r="C65" s="20">
        <v>-123.9</v>
      </c>
      <c r="D65" s="20">
        <v>-174.4</v>
      </c>
      <c r="E65" s="20">
        <v>-45</v>
      </c>
      <c r="F65" s="20">
        <v>-108</v>
      </c>
      <c r="G65" s="20">
        <v>-161.1</v>
      </c>
    </row>
    <row r="66" spans="1:17" x14ac:dyDescent="0.15">
      <c r="A66" s="13" t="s">
        <v>196</v>
      </c>
      <c r="B66" s="26">
        <v>1149.9000000000001</v>
      </c>
      <c r="C66" s="26">
        <v>1179.5999999999999</v>
      </c>
      <c r="D66" s="26">
        <v>1244.9000000000001</v>
      </c>
      <c r="E66" s="26">
        <v>1495.1</v>
      </c>
      <c r="F66" s="26">
        <v>1322</v>
      </c>
      <c r="G66" s="26">
        <v>1417.8</v>
      </c>
      <c r="J66" s="98" t="s">
        <v>323</v>
      </c>
      <c r="L66" s="99">
        <f t="shared" ref="L66:Q66" si="10">L64/L61</f>
        <v>5.8301672988243444E-2</v>
      </c>
      <c r="M66" s="99">
        <f t="shared" si="10"/>
        <v>7.3354741656578751E-2</v>
      </c>
      <c r="N66" s="99">
        <f t="shared" si="10"/>
        <v>6.5478780119891167E-2</v>
      </c>
      <c r="O66" s="99">
        <f t="shared" si="10"/>
        <v>6.558758760996658E-2</v>
      </c>
      <c r="P66" s="99">
        <f t="shared" si="10"/>
        <v>5.4978418347254754E-2</v>
      </c>
      <c r="Q66" s="99">
        <f t="shared" si="10"/>
        <v>5.4146385150065007E-2</v>
      </c>
    </row>
    <row r="67" spans="1:17" x14ac:dyDescent="0.15">
      <c r="A67" s="14"/>
      <c r="B67" s="14"/>
      <c r="C67" s="14"/>
      <c r="D67" s="14"/>
      <c r="E67" s="14"/>
      <c r="F67" s="14"/>
      <c r="G67" s="14"/>
    </row>
    <row r="68" spans="1:17" x14ac:dyDescent="0.15">
      <c r="A68" s="13" t="s">
        <v>197</v>
      </c>
      <c r="B68" s="33">
        <v>1149.9000000000001</v>
      </c>
      <c r="C68" s="33">
        <v>1179.5999999999999</v>
      </c>
      <c r="D68" s="33">
        <v>1244.9000000000001</v>
      </c>
      <c r="E68" s="33">
        <v>1495.1</v>
      </c>
      <c r="F68" s="33">
        <v>1322</v>
      </c>
      <c r="G68" s="33">
        <v>1417.8</v>
      </c>
    </row>
    <row r="69" spans="1:17" x14ac:dyDescent="0.15">
      <c r="A69" s="14"/>
      <c r="B69" s="14"/>
      <c r="C69" s="14"/>
      <c r="D69" s="14"/>
      <c r="E69" s="14"/>
      <c r="F69" s="14"/>
      <c r="G69" s="14"/>
    </row>
    <row r="70" spans="1:17" x14ac:dyDescent="0.15">
      <c r="A70" s="13" t="s">
        <v>198</v>
      </c>
      <c r="B70" s="34">
        <v>2036.4</v>
      </c>
      <c r="C70" s="34">
        <v>2187.4</v>
      </c>
      <c r="D70" s="34">
        <v>2400.6</v>
      </c>
      <c r="E70" s="34">
        <v>2780.9</v>
      </c>
      <c r="F70" s="34">
        <v>2824.1</v>
      </c>
      <c r="G70" s="34">
        <v>3155.2</v>
      </c>
    </row>
    <row r="71" spans="1:17" x14ac:dyDescent="0.15">
      <c r="A71" s="14"/>
      <c r="B71" s="14"/>
      <c r="C71" s="14"/>
      <c r="D71" s="14"/>
      <c r="E71" s="14"/>
      <c r="F71" s="14"/>
      <c r="G71" s="14"/>
    </row>
    <row r="72" spans="1:17" x14ac:dyDescent="0.15">
      <c r="A72" s="13" t="s">
        <v>127</v>
      </c>
      <c r="B72" s="14"/>
      <c r="C72" s="14"/>
      <c r="D72" s="14"/>
      <c r="E72" s="14"/>
      <c r="F72" s="14"/>
      <c r="G72" s="14"/>
    </row>
    <row r="73" spans="1:17" x14ac:dyDescent="0.15">
      <c r="A73" s="14" t="s">
        <v>199</v>
      </c>
      <c r="B73" s="20">
        <v>95.747347000000005</v>
      </c>
      <c r="C73" s="20">
        <v>93.290125000000003</v>
      </c>
      <c r="D73" s="20">
        <v>91.508774000000003</v>
      </c>
      <c r="E73" s="20">
        <v>89.6</v>
      </c>
      <c r="F73" s="20">
        <v>84.794471999999999</v>
      </c>
      <c r="G73" s="20">
        <v>84.378113999999997</v>
      </c>
    </row>
    <row r="74" spans="1:17" x14ac:dyDescent="0.15">
      <c r="A74" s="14" t="s">
        <v>200</v>
      </c>
      <c r="B74" s="20">
        <v>95.5</v>
      </c>
      <c r="C74" s="20">
        <v>93.5</v>
      </c>
      <c r="D74" s="20">
        <v>91.4</v>
      </c>
      <c r="E74" s="20">
        <v>89.6</v>
      </c>
      <c r="F74" s="20">
        <v>84.8</v>
      </c>
      <c r="G74" s="20">
        <v>84.6</v>
      </c>
    </row>
    <row r="75" spans="1:17" x14ac:dyDescent="0.15">
      <c r="A75" s="14" t="s">
        <v>201</v>
      </c>
      <c r="B75" s="22">
        <v>12.04</v>
      </c>
      <c r="C75" s="22">
        <v>12.62</v>
      </c>
      <c r="D75" s="22">
        <v>13.62</v>
      </c>
      <c r="E75" s="22">
        <v>16.690000000000001</v>
      </c>
      <c r="F75" s="22">
        <v>15.59</v>
      </c>
      <c r="G75" s="22">
        <v>16.760000000000002</v>
      </c>
    </row>
    <row r="76" spans="1:17" x14ac:dyDescent="0.15">
      <c r="A76" s="14" t="s">
        <v>202</v>
      </c>
      <c r="B76" s="20">
        <v>1090.0999999999999</v>
      </c>
      <c r="C76" s="20">
        <v>1120.7</v>
      </c>
      <c r="D76" s="20">
        <v>1172.7</v>
      </c>
      <c r="E76" s="20">
        <v>1346.4</v>
      </c>
      <c r="F76" s="20">
        <v>1179.7</v>
      </c>
      <c r="G76" s="20">
        <v>1138.4000000000001</v>
      </c>
    </row>
    <row r="77" spans="1:17" x14ac:dyDescent="0.15">
      <c r="A77" s="14" t="s">
        <v>203</v>
      </c>
      <c r="B77" s="22">
        <v>11.41</v>
      </c>
      <c r="C77" s="22">
        <v>11.99</v>
      </c>
      <c r="D77" s="22">
        <v>12.83</v>
      </c>
      <c r="E77" s="22">
        <v>15.03</v>
      </c>
      <c r="F77" s="22">
        <v>13.91</v>
      </c>
      <c r="G77" s="22">
        <v>13.46</v>
      </c>
    </row>
    <row r="78" spans="1:17" x14ac:dyDescent="0.15">
      <c r="A78" s="14" t="s">
        <v>204</v>
      </c>
      <c r="B78" s="20">
        <v>416.3</v>
      </c>
      <c r="C78" s="20">
        <v>576.5</v>
      </c>
      <c r="D78" s="20">
        <v>688.8</v>
      </c>
      <c r="E78" s="20">
        <v>810.3</v>
      </c>
      <c r="F78" s="20">
        <v>957.3</v>
      </c>
      <c r="G78" s="20">
        <v>1192</v>
      </c>
    </row>
    <row r="79" spans="1:17" x14ac:dyDescent="0.15">
      <c r="A79" s="14" t="s">
        <v>205</v>
      </c>
      <c r="B79" s="20">
        <v>345.4</v>
      </c>
      <c r="C79" s="20">
        <v>524.70000000000005</v>
      </c>
      <c r="D79" s="20">
        <v>653.6</v>
      </c>
      <c r="E79" s="20">
        <v>750.2</v>
      </c>
      <c r="F79" s="20">
        <v>924.6</v>
      </c>
      <c r="G79" s="20">
        <v>1145</v>
      </c>
    </row>
    <row r="80" spans="1:17" ht="12" x14ac:dyDescent="0.15">
      <c r="A80" s="14" t="s">
        <v>206</v>
      </c>
      <c r="B80" s="20">
        <v>33.299999999999997</v>
      </c>
      <c r="C80" s="20">
        <v>20.100000000000001</v>
      </c>
      <c r="D80" s="20">
        <v>12.4</v>
      </c>
      <c r="E80" s="20">
        <v>9.1</v>
      </c>
      <c r="F80" s="20">
        <v>-5.2</v>
      </c>
      <c r="G80" s="20" t="s">
        <v>125</v>
      </c>
    </row>
    <row r="81" spans="1:7" ht="12" x14ac:dyDescent="0.15">
      <c r="A81" s="14" t="s">
        <v>207</v>
      </c>
      <c r="B81" s="20">
        <v>101.6</v>
      </c>
      <c r="C81" s="20">
        <v>81.599999999999994</v>
      </c>
      <c r="D81" s="20">
        <v>91.2</v>
      </c>
      <c r="E81" s="20">
        <v>96</v>
      </c>
      <c r="F81" s="20">
        <v>110.4</v>
      </c>
      <c r="G81" s="20" t="s">
        <v>125</v>
      </c>
    </row>
    <row r="82" spans="1:7" x14ac:dyDescent="0.15">
      <c r="A82" s="14" t="s">
        <v>208</v>
      </c>
      <c r="B82" s="20">
        <v>34.200000000000003</v>
      </c>
      <c r="C82" s="20">
        <v>30.4</v>
      </c>
      <c r="D82" s="20">
        <v>53.1</v>
      </c>
      <c r="E82" s="20">
        <v>47.7</v>
      </c>
      <c r="F82" s="20">
        <v>48.7</v>
      </c>
      <c r="G82" s="20">
        <v>45.8</v>
      </c>
    </row>
    <row r="83" spans="1:7" ht="12" x14ac:dyDescent="0.15">
      <c r="A83" s="14" t="s">
        <v>209</v>
      </c>
      <c r="B83" s="19" t="s">
        <v>210</v>
      </c>
      <c r="C83" s="19" t="s">
        <v>210</v>
      </c>
      <c r="D83" s="19" t="s">
        <v>211</v>
      </c>
      <c r="E83" s="19" t="s">
        <v>211</v>
      </c>
      <c r="F83" s="19" t="s">
        <v>211</v>
      </c>
      <c r="G83" s="19" t="s">
        <v>125</v>
      </c>
    </row>
    <row r="84" spans="1:7" x14ac:dyDescent="0.15">
      <c r="A84" s="14" t="s">
        <v>212</v>
      </c>
      <c r="B84" s="20">
        <v>111.1</v>
      </c>
      <c r="C84" s="20">
        <v>120.7</v>
      </c>
      <c r="D84" s="20">
        <v>120.6</v>
      </c>
      <c r="E84" s="20">
        <v>126.7</v>
      </c>
      <c r="F84" s="20">
        <v>131.4</v>
      </c>
      <c r="G84" s="20">
        <v>182.6</v>
      </c>
    </row>
    <row r="85" spans="1:7" x14ac:dyDescent="0.15">
      <c r="A85" s="14" t="s">
        <v>213</v>
      </c>
      <c r="B85" s="20">
        <v>48.5</v>
      </c>
      <c r="C85" s="20">
        <v>54.7</v>
      </c>
      <c r="D85" s="20">
        <v>53.7</v>
      </c>
      <c r="E85" s="20">
        <v>52.1</v>
      </c>
      <c r="F85" s="20">
        <v>43.6</v>
      </c>
      <c r="G85" s="20">
        <v>39.700000000000003</v>
      </c>
    </row>
    <row r="86" spans="1:7" x14ac:dyDescent="0.15">
      <c r="A86" s="14" t="s">
        <v>214</v>
      </c>
      <c r="B86" s="20">
        <v>130.5</v>
      </c>
      <c r="C86" s="20">
        <v>131.80000000000001</v>
      </c>
      <c r="D86" s="20">
        <v>116.7</v>
      </c>
      <c r="E86" s="20">
        <v>135.19999999999999</v>
      </c>
      <c r="F86" s="20">
        <v>122.8</v>
      </c>
      <c r="G86" s="20">
        <v>129.9</v>
      </c>
    </row>
    <row r="87" spans="1:7" ht="12" x14ac:dyDescent="0.15">
      <c r="A87" s="14" t="s">
        <v>215</v>
      </c>
      <c r="B87" s="20">
        <v>50.2</v>
      </c>
      <c r="C87" s="20">
        <v>51.7</v>
      </c>
      <c r="D87" s="20">
        <v>63.8</v>
      </c>
      <c r="E87" s="20">
        <v>96.7</v>
      </c>
      <c r="F87" s="20">
        <v>105</v>
      </c>
      <c r="G87" s="20" t="s">
        <v>125</v>
      </c>
    </row>
    <row r="88" spans="1:7" ht="12" x14ac:dyDescent="0.15">
      <c r="A88" s="14" t="s">
        <v>216</v>
      </c>
      <c r="B88" s="20">
        <v>386</v>
      </c>
      <c r="C88" s="20">
        <v>405.5</v>
      </c>
      <c r="D88" s="20">
        <v>523.20000000000005</v>
      </c>
      <c r="E88" s="20">
        <v>624.20000000000005</v>
      </c>
      <c r="F88" s="20">
        <v>660</v>
      </c>
      <c r="G88" s="20" t="s">
        <v>125</v>
      </c>
    </row>
    <row r="89" spans="1:7" ht="12" x14ac:dyDescent="0.15">
      <c r="A89" s="14" t="s">
        <v>217</v>
      </c>
      <c r="B89" s="20">
        <v>1008.6</v>
      </c>
      <c r="C89" s="20">
        <v>1094.0999999999999</v>
      </c>
      <c r="D89" s="20">
        <v>1336.9</v>
      </c>
      <c r="E89" s="20">
        <v>1698.5</v>
      </c>
      <c r="F89" s="20">
        <v>1919.5</v>
      </c>
      <c r="G89" s="20" t="s">
        <v>125</v>
      </c>
    </row>
    <row r="90" spans="1:7" ht="12" x14ac:dyDescent="0.15">
      <c r="A90" s="14" t="s">
        <v>218</v>
      </c>
      <c r="B90" s="20">
        <v>423.9</v>
      </c>
      <c r="C90" s="20">
        <v>548.1</v>
      </c>
      <c r="D90" s="20">
        <v>454.4</v>
      </c>
      <c r="E90" s="20">
        <v>322</v>
      </c>
      <c r="F90" s="20">
        <v>151.9</v>
      </c>
      <c r="G90" s="20" t="s">
        <v>48</v>
      </c>
    </row>
    <row r="91" spans="1:7" ht="12" x14ac:dyDescent="0.15">
      <c r="A91" s="14" t="s">
        <v>219</v>
      </c>
      <c r="B91" s="35">
        <v>5663</v>
      </c>
      <c r="C91" s="35">
        <v>5897</v>
      </c>
      <c r="D91" s="35">
        <v>6155</v>
      </c>
      <c r="E91" s="35">
        <v>6259</v>
      </c>
      <c r="F91" s="35">
        <v>6626</v>
      </c>
      <c r="G91" s="35" t="s">
        <v>125</v>
      </c>
    </row>
    <row r="92" spans="1:7" ht="12" x14ac:dyDescent="0.15">
      <c r="A92" s="14" t="s">
        <v>220</v>
      </c>
      <c r="B92" s="20" t="s">
        <v>125</v>
      </c>
      <c r="C92" s="20" t="s">
        <v>125</v>
      </c>
      <c r="D92" s="20">
        <v>0.1</v>
      </c>
      <c r="E92" s="20">
        <v>2.5</v>
      </c>
      <c r="F92" s="20">
        <v>3.5</v>
      </c>
      <c r="G92" s="20" t="s">
        <v>125</v>
      </c>
    </row>
    <row r="93" spans="1:7" ht="12" x14ac:dyDescent="0.15">
      <c r="A93" s="14" t="s">
        <v>221</v>
      </c>
      <c r="B93" s="20">
        <v>0.4</v>
      </c>
      <c r="C93" s="20">
        <v>0.3</v>
      </c>
      <c r="D93" s="20">
        <v>0.4</v>
      </c>
      <c r="E93" s="20">
        <v>0.3</v>
      </c>
      <c r="F93" s="20">
        <v>0.3</v>
      </c>
      <c r="G93" s="20" t="s">
        <v>125</v>
      </c>
    </row>
    <row r="94" spans="1:7" x14ac:dyDescent="0.15">
      <c r="A94" s="14" t="s">
        <v>140</v>
      </c>
      <c r="B94" s="30">
        <v>42775</v>
      </c>
      <c r="C94" s="30">
        <v>43138</v>
      </c>
      <c r="D94" s="30">
        <v>43502</v>
      </c>
      <c r="E94" s="30">
        <v>43502</v>
      </c>
      <c r="F94" s="30">
        <v>43502</v>
      </c>
      <c r="G94" s="30">
        <v>43759</v>
      </c>
    </row>
    <row r="95" spans="1:7" ht="12" x14ac:dyDescent="0.15">
      <c r="A95" s="14" t="s">
        <v>141</v>
      </c>
      <c r="B95" s="19" t="s">
        <v>142</v>
      </c>
      <c r="C95" s="19" t="s">
        <v>142</v>
      </c>
      <c r="D95" s="19" t="s">
        <v>142</v>
      </c>
      <c r="E95" s="19" t="s">
        <v>142</v>
      </c>
      <c r="F95" s="19" t="s">
        <v>143</v>
      </c>
      <c r="G95" s="19" t="s">
        <v>143</v>
      </c>
    </row>
    <row r="96" spans="1:7" ht="12" x14ac:dyDescent="0.15">
      <c r="A96" s="14" t="s">
        <v>144</v>
      </c>
      <c r="B96" s="19" t="s">
        <v>222</v>
      </c>
      <c r="C96" s="19" t="s">
        <v>222</v>
      </c>
      <c r="D96" s="19" t="s">
        <v>222</v>
      </c>
      <c r="E96" s="19" t="s">
        <v>145</v>
      </c>
      <c r="F96" s="19" t="s">
        <v>145</v>
      </c>
      <c r="G96" s="19" t="s">
        <v>145</v>
      </c>
    </row>
    <row r="97" spans="1:7" x14ac:dyDescent="0.15">
      <c r="A97" s="14"/>
      <c r="B97" s="14"/>
      <c r="C97" s="14"/>
      <c r="D97" s="14"/>
      <c r="E97" s="14"/>
      <c r="F97" s="14"/>
      <c r="G97" s="14"/>
    </row>
    <row r="98" spans="1:7" x14ac:dyDescent="0.15">
      <c r="A98" s="21"/>
      <c r="B98" s="21"/>
      <c r="C98" s="21"/>
      <c r="D98" s="21"/>
      <c r="E98" s="21"/>
      <c r="F98" s="21"/>
      <c r="G98" s="21"/>
    </row>
    <row r="99" spans="1:7" x14ac:dyDescent="0.15">
      <c r="A99" s="31" t="s">
        <v>223</v>
      </c>
    </row>
    <row r="100" spans="1:7" x14ac:dyDescent="0.15">
      <c r="A100" s="25" t="s">
        <v>66</v>
      </c>
    </row>
  </sheetData>
  <pageMargins left="0.2" right="0.2" top="0.5" bottom="0.5" header="0.5" footer="0.5"/>
  <pageSetup fitToWidth="0" fitToHeight="0"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A9F64-96C9-4067-B84F-D59FF259E70F}">
  <sheetPr>
    <outlinePr summaryBelow="0" summaryRight="0"/>
    <pageSetUpPr autoPageBreaks="0"/>
  </sheetPr>
  <dimension ref="A5:IU73"/>
  <sheetViews>
    <sheetView topLeftCell="A39" zoomScale="118" workbookViewId="0">
      <selection activeCell="G47" sqref="G47"/>
    </sheetView>
  </sheetViews>
  <sheetFormatPr baseColWidth="10" defaultColWidth="8.75" defaultRowHeight="11" x14ac:dyDescent="0.15"/>
  <cols>
    <col min="1" max="1" width="53.5" style="2" customWidth="1"/>
    <col min="2" max="7" width="17.25" style="2" customWidth="1"/>
    <col min="8" max="256" width="9.25" style="2"/>
    <col min="257" max="257" width="53.5" style="2" customWidth="1"/>
    <col min="258" max="263" width="17.25" style="2" customWidth="1"/>
    <col min="264" max="512" width="9.25" style="2"/>
    <col min="513" max="513" width="53.5" style="2" customWidth="1"/>
    <col min="514" max="519" width="17.25" style="2" customWidth="1"/>
    <col min="520" max="768" width="9.25" style="2"/>
    <col min="769" max="769" width="53.5" style="2" customWidth="1"/>
    <col min="770" max="775" width="17.25" style="2" customWidth="1"/>
    <col min="776" max="1024" width="9.25" style="2"/>
    <col min="1025" max="1025" width="53.5" style="2" customWidth="1"/>
    <col min="1026" max="1031" width="17.25" style="2" customWidth="1"/>
    <col min="1032" max="1280" width="9.25" style="2"/>
    <col min="1281" max="1281" width="53.5" style="2" customWidth="1"/>
    <col min="1282" max="1287" width="17.25" style="2" customWidth="1"/>
    <col min="1288" max="1536" width="9.25" style="2"/>
    <col min="1537" max="1537" width="53.5" style="2" customWidth="1"/>
    <col min="1538" max="1543" width="17.25" style="2" customWidth="1"/>
    <col min="1544" max="1792" width="9.25" style="2"/>
    <col min="1793" max="1793" width="53.5" style="2" customWidth="1"/>
    <col min="1794" max="1799" width="17.25" style="2" customWidth="1"/>
    <col min="1800" max="2048" width="9.25" style="2"/>
    <col min="2049" max="2049" width="53.5" style="2" customWidth="1"/>
    <col min="2050" max="2055" width="17.25" style="2" customWidth="1"/>
    <col min="2056" max="2304" width="9.25" style="2"/>
    <col min="2305" max="2305" width="53.5" style="2" customWidth="1"/>
    <col min="2306" max="2311" width="17.25" style="2" customWidth="1"/>
    <col min="2312" max="2560" width="9.25" style="2"/>
    <col min="2561" max="2561" width="53.5" style="2" customWidth="1"/>
    <col min="2562" max="2567" width="17.25" style="2" customWidth="1"/>
    <col min="2568" max="2816" width="9.25" style="2"/>
    <col min="2817" max="2817" width="53.5" style="2" customWidth="1"/>
    <col min="2818" max="2823" width="17.25" style="2" customWidth="1"/>
    <col min="2824" max="3072" width="9.25" style="2"/>
    <col min="3073" max="3073" width="53.5" style="2" customWidth="1"/>
    <col min="3074" max="3079" width="17.25" style="2" customWidth="1"/>
    <col min="3080" max="3328" width="9.25" style="2"/>
    <col min="3329" max="3329" width="53.5" style="2" customWidth="1"/>
    <col min="3330" max="3335" width="17.25" style="2" customWidth="1"/>
    <col min="3336" max="3584" width="9.25" style="2"/>
    <col min="3585" max="3585" width="53.5" style="2" customWidth="1"/>
    <col min="3586" max="3591" width="17.25" style="2" customWidth="1"/>
    <col min="3592" max="3840" width="9.25" style="2"/>
    <col min="3841" max="3841" width="53.5" style="2" customWidth="1"/>
    <col min="3842" max="3847" width="17.25" style="2" customWidth="1"/>
    <col min="3848" max="4096" width="9.25" style="2"/>
    <col min="4097" max="4097" width="53.5" style="2" customWidth="1"/>
    <col min="4098" max="4103" width="17.25" style="2" customWidth="1"/>
    <col min="4104" max="4352" width="9.25" style="2"/>
    <col min="4353" max="4353" width="53.5" style="2" customWidth="1"/>
    <col min="4354" max="4359" width="17.25" style="2" customWidth="1"/>
    <col min="4360" max="4608" width="9.25" style="2"/>
    <col min="4609" max="4609" width="53.5" style="2" customWidth="1"/>
    <col min="4610" max="4615" width="17.25" style="2" customWidth="1"/>
    <col min="4616" max="4864" width="9.25" style="2"/>
    <col min="4865" max="4865" width="53.5" style="2" customWidth="1"/>
    <col min="4866" max="4871" width="17.25" style="2" customWidth="1"/>
    <col min="4872" max="5120" width="9.25" style="2"/>
    <col min="5121" max="5121" width="53.5" style="2" customWidth="1"/>
    <col min="5122" max="5127" width="17.25" style="2" customWidth="1"/>
    <col min="5128" max="5376" width="9.25" style="2"/>
    <col min="5377" max="5377" width="53.5" style="2" customWidth="1"/>
    <col min="5378" max="5383" width="17.25" style="2" customWidth="1"/>
    <col min="5384" max="5632" width="9.25" style="2"/>
    <col min="5633" max="5633" width="53.5" style="2" customWidth="1"/>
    <col min="5634" max="5639" width="17.25" style="2" customWidth="1"/>
    <col min="5640" max="5888" width="9.25" style="2"/>
    <col min="5889" max="5889" width="53.5" style="2" customWidth="1"/>
    <col min="5890" max="5895" width="17.25" style="2" customWidth="1"/>
    <col min="5896" max="6144" width="9.25" style="2"/>
    <col min="6145" max="6145" width="53.5" style="2" customWidth="1"/>
    <col min="6146" max="6151" width="17.25" style="2" customWidth="1"/>
    <col min="6152" max="6400" width="9.25" style="2"/>
    <col min="6401" max="6401" width="53.5" style="2" customWidth="1"/>
    <col min="6402" max="6407" width="17.25" style="2" customWidth="1"/>
    <col min="6408" max="6656" width="9.25" style="2"/>
    <col min="6657" max="6657" width="53.5" style="2" customWidth="1"/>
    <col min="6658" max="6663" width="17.25" style="2" customWidth="1"/>
    <col min="6664" max="6912" width="9.25" style="2"/>
    <col min="6913" max="6913" width="53.5" style="2" customWidth="1"/>
    <col min="6914" max="6919" width="17.25" style="2" customWidth="1"/>
    <col min="6920" max="7168" width="9.25" style="2"/>
    <col min="7169" max="7169" width="53.5" style="2" customWidth="1"/>
    <col min="7170" max="7175" width="17.25" style="2" customWidth="1"/>
    <col min="7176" max="7424" width="9.25" style="2"/>
    <col min="7425" max="7425" width="53.5" style="2" customWidth="1"/>
    <col min="7426" max="7431" width="17.25" style="2" customWidth="1"/>
    <col min="7432" max="7680" width="9.25" style="2"/>
    <col min="7681" max="7681" width="53.5" style="2" customWidth="1"/>
    <col min="7682" max="7687" width="17.25" style="2" customWidth="1"/>
    <col min="7688" max="7936" width="9.25" style="2"/>
    <col min="7937" max="7937" width="53.5" style="2" customWidth="1"/>
    <col min="7938" max="7943" width="17.25" style="2" customWidth="1"/>
    <col min="7944" max="8192" width="9.25" style="2"/>
    <col min="8193" max="8193" width="53.5" style="2" customWidth="1"/>
    <col min="8194" max="8199" width="17.25" style="2" customWidth="1"/>
    <col min="8200" max="8448" width="9.25" style="2"/>
    <col min="8449" max="8449" width="53.5" style="2" customWidth="1"/>
    <col min="8450" max="8455" width="17.25" style="2" customWidth="1"/>
    <col min="8456" max="8704" width="9.25" style="2"/>
    <col min="8705" max="8705" width="53.5" style="2" customWidth="1"/>
    <col min="8706" max="8711" width="17.25" style="2" customWidth="1"/>
    <col min="8712" max="8960" width="9.25" style="2"/>
    <col min="8961" max="8961" width="53.5" style="2" customWidth="1"/>
    <col min="8962" max="8967" width="17.25" style="2" customWidth="1"/>
    <col min="8968" max="9216" width="9.25" style="2"/>
    <col min="9217" max="9217" width="53.5" style="2" customWidth="1"/>
    <col min="9218" max="9223" width="17.25" style="2" customWidth="1"/>
    <col min="9224" max="9472" width="9.25" style="2"/>
    <col min="9473" max="9473" width="53.5" style="2" customWidth="1"/>
    <col min="9474" max="9479" width="17.25" style="2" customWidth="1"/>
    <col min="9480" max="9728" width="9.25" style="2"/>
    <col min="9729" max="9729" width="53.5" style="2" customWidth="1"/>
    <col min="9730" max="9735" width="17.25" style="2" customWidth="1"/>
    <col min="9736" max="9984" width="9.25" style="2"/>
    <col min="9985" max="9985" width="53.5" style="2" customWidth="1"/>
    <col min="9986" max="9991" width="17.25" style="2" customWidth="1"/>
    <col min="9992" max="10240" width="9.25" style="2"/>
    <col min="10241" max="10241" width="53.5" style="2" customWidth="1"/>
    <col min="10242" max="10247" width="17.25" style="2" customWidth="1"/>
    <col min="10248" max="10496" width="9.25" style="2"/>
    <col min="10497" max="10497" width="53.5" style="2" customWidth="1"/>
    <col min="10498" max="10503" width="17.25" style="2" customWidth="1"/>
    <col min="10504" max="10752" width="9.25" style="2"/>
    <col min="10753" max="10753" width="53.5" style="2" customWidth="1"/>
    <col min="10754" max="10759" width="17.25" style="2" customWidth="1"/>
    <col min="10760" max="11008" width="9.25" style="2"/>
    <col min="11009" max="11009" width="53.5" style="2" customWidth="1"/>
    <col min="11010" max="11015" width="17.25" style="2" customWidth="1"/>
    <col min="11016" max="11264" width="9.25" style="2"/>
    <col min="11265" max="11265" width="53.5" style="2" customWidth="1"/>
    <col min="11266" max="11271" width="17.25" style="2" customWidth="1"/>
    <col min="11272" max="11520" width="9.25" style="2"/>
    <col min="11521" max="11521" width="53.5" style="2" customWidth="1"/>
    <col min="11522" max="11527" width="17.25" style="2" customWidth="1"/>
    <col min="11528" max="11776" width="9.25" style="2"/>
    <col min="11777" max="11777" width="53.5" style="2" customWidth="1"/>
    <col min="11778" max="11783" width="17.25" style="2" customWidth="1"/>
    <col min="11784" max="12032" width="9.25" style="2"/>
    <col min="12033" max="12033" width="53.5" style="2" customWidth="1"/>
    <col min="12034" max="12039" width="17.25" style="2" customWidth="1"/>
    <col min="12040" max="12288" width="9.25" style="2"/>
    <col min="12289" max="12289" width="53.5" style="2" customWidth="1"/>
    <col min="12290" max="12295" width="17.25" style="2" customWidth="1"/>
    <col min="12296" max="12544" width="9.25" style="2"/>
    <col min="12545" max="12545" width="53.5" style="2" customWidth="1"/>
    <col min="12546" max="12551" width="17.25" style="2" customWidth="1"/>
    <col min="12552" max="12800" width="9.25" style="2"/>
    <col min="12801" max="12801" width="53.5" style="2" customWidth="1"/>
    <col min="12802" max="12807" width="17.25" style="2" customWidth="1"/>
    <col min="12808" max="13056" width="9.25" style="2"/>
    <col min="13057" max="13057" width="53.5" style="2" customWidth="1"/>
    <col min="13058" max="13063" width="17.25" style="2" customWidth="1"/>
    <col min="13064" max="13312" width="9.25" style="2"/>
    <col min="13313" max="13313" width="53.5" style="2" customWidth="1"/>
    <col min="13314" max="13319" width="17.25" style="2" customWidth="1"/>
    <col min="13320" max="13568" width="9.25" style="2"/>
    <col min="13569" max="13569" width="53.5" style="2" customWidth="1"/>
    <col min="13570" max="13575" width="17.25" style="2" customWidth="1"/>
    <col min="13576" max="13824" width="9.25" style="2"/>
    <col min="13825" max="13825" width="53.5" style="2" customWidth="1"/>
    <col min="13826" max="13831" width="17.25" style="2" customWidth="1"/>
    <col min="13832" max="14080" width="9.25" style="2"/>
    <col min="14081" max="14081" width="53.5" style="2" customWidth="1"/>
    <col min="14082" max="14087" width="17.25" style="2" customWidth="1"/>
    <col min="14088" max="14336" width="9.25" style="2"/>
    <col min="14337" max="14337" width="53.5" style="2" customWidth="1"/>
    <col min="14338" max="14343" width="17.25" style="2" customWidth="1"/>
    <col min="14344" max="14592" width="9.25" style="2"/>
    <col min="14593" max="14593" width="53.5" style="2" customWidth="1"/>
    <col min="14594" max="14599" width="17.25" style="2" customWidth="1"/>
    <col min="14600" max="14848" width="9.25" style="2"/>
    <col min="14849" max="14849" width="53.5" style="2" customWidth="1"/>
    <col min="14850" max="14855" width="17.25" style="2" customWidth="1"/>
    <col min="14856" max="15104" width="9.25" style="2"/>
    <col min="15105" max="15105" width="53.5" style="2" customWidth="1"/>
    <col min="15106" max="15111" width="17.25" style="2" customWidth="1"/>
    <col min="15112" max="15360" width="9.25" style="2"/>
    <col min="15361" max="15361" width="53.5" style="2" customWidth="1"/>
    <col min="15362" max="15367" width="17.25" style="2" customWidth="1"/>
    <col min="15368" max="15616" width="9.25" style="2"/>
    <col min="15617" max="15617" width="53.5" style="2" customWidth="1"/>
    <col min="15618" max="15623" width="17.25" style="2" customWidth="1"/>
    <col min="15624" max="15872" width="9.25" style="2"/>
    <col min="15873" max="15873" width="53.5" style="2" customWidth="1"/>
    <col min="15874" max="15879" width="17.25" style="2" customWidth="1"/>
    <col min="15880" max="16128" width="9.25" style="2"/>
    <col min="16129" max="16129" width="53.5" style="2" customWidth="1"/>
    <col min="16130" max="16135" width="17.25" style="2" customWidth="1"/>
    <col min="16136" max="16384" width="9.25" style="2"/>
  </cols>
  <sheetData>
    <row r="5" spans="1:255" ht="17" x14ac:dyDescent="0.2">
      <c r="A5" s="1" t="s">
        <v>224</v>
      </c>
    </row>
    <row r="7" spans="1:255" ht="12" x14ac:dyDescent="0.15">
      <c r="A7" s="3" t="s">
        <v>68</v>
      </c>
      <c r="B7" s="4" t="s">
        <v>69</v>
      </c>
      <c r="C7" s="2" t="s">
        <v>70</v>
      </c>
      <c r="D7" s="5" t="s">
        <v>4</v>
      </c>
      <c r="E7" s="4" t="s">
        <v>71</v>
      </c>
      <c r="F7" s="2" t="s">
        <v>72</v>
      </c>
    </row>
    <row r="8" spans="1:255" x14ac:dyDescent="0.15">
      <c r="A8" s="5"/>
      <c r="B8" s="4" t="s">
        <v>73</v>
      </c>
      <c r="C8" s="2" t="s">
        <v>74</v>
      </c>
      <c r="D8" s="5" t="s">
        <v>4</v>
      </c>
      <c r="E8" s="4" t="s">
        <v>7</v>
      </c>
      <c r="F8" s="2" t="s">
        <v>8</v>
      </c>
    </row>
    <row r="9" spans="1:255" x14ac:dyDescent="0.15">
      <c r="A9" s="5"/>
      <c r="B9" s="4" t="s">
        <v>2</v>
      </c>
      <c r="C9" s="2" t="s">
        <v>75</v>
      </c>
      <c r="D9" s="5" t="s">
        <v>4</v>
      </c>
      <c r="E9" s="4" t="s">
        <v>5</v>
      </c>
      <c r="F9" s="2" t="s">
        <v>6</v>
      </c>
    </row>
    <row r="10" spans="1:255" x14ac:dyDescent="0.15">
      <c r="A10" s="5"/>
      <c r="B10" s="4" t="s">
        <v>9</v>
      </c>
      <c r="C10" s="2" t="s">
        <v>10</v>
      </c>
      <c r="D10" s="5" t="s">
        <v>4</v>
      </c>
      <c r="E10" s="4" t="s">
        <v>11</v>
      </c>
      <c r="F10" s="6" t="s">
        <v>12</v>
      </c>
    </row>
    <row r="13" spans="1:255" x14ac:dyDescent="0.15">
      <c r="A13" s="7" t="s">
        <v>225</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6" x14ac:dyDescent="0.15">
      <c r="A14" s="9" t="s">
        <v>16</v>
      </c>
      <c r="B14" s="10" t="s">
        <v>77</v>
      </c>
      <c r="C14" s="10" t="s">
        <v>78</v>
      </c>
      <c r="D14" s="10" t="s">
        <v>79</v>
      </c>
      <c r="E14" s="10" t="s">
        <v>80</v>
      </c>
      <c r="F14" s="10" t="s">
        <v>81</v>
      </c>
      <c r="G14" s="10" t="s">
        <v>82</v>
      </c>
    </row>
    <row r="15" spans="1:255" ht="12" x14ac:dyDescent="0.15">
      <c r="A15" s="11" t="s">
        <v>23</v>
      </c>
      <c r="B15" s="12" t="s">
        <v>24</v>
      </c>
      <c r="C15" s="12" t="s">
        <v>24</v>
      </c>
      <c r="D15" s="12" t="s">
        <v>24</v>
      </c>
      <c r="E15" s="12" t="s">
        <v>24</v>
      </c>
      <c r="F15" s="12" t="s">
        <v>24</v>
      </c>
      <c r="G15" s="12" t="s">
        <v>24</v>
      </c>
    </row>
    <row r="16" spans="1:255" x14ac:dyDescent="0.15">
      <c r="A16" s="13" t="s">
        <v>34</v>
      </c>
      <c r="B16" s="14"/>
      <c r="C16" s="14"/>
      <c r="D16" s="14"/>
      <c r="E16" s="14"/>
      <c r="F16" s="14"/>
      <c r="G16" s="14"/>
    </row>
    <row r="17" spans="1:7" x14ac:dyDescent="0.15">
      <c r="A17" s="13" t="s">
        <v>32</v>
      </c>
      <c r="B17" s="15">
        <v>209.4</v>
      </c>
      <c r="C17" s="15">
        <v>237.2</v>
      </c>
      <c r="D17" s="15">
        <v>249.8</v>
      </c>
      <c r="E17" s="15">
        <v>284</v>
      </c>
      <c r="F17" s="15">
        <v>276.60000000000002</v>
      </c>
      <c r="G17" s="15">
        <v>299.5</v>
      </c>
    </row>
    <row r="18" spans="1:7" x14ac:dyDescent="0.15">
      <c r="A18" s="14" t="s">
        <v>90</v>
      </c>
      <c r="B18" s="20">
        <v>71.2</v>
      </c>
      <c r="C18" s="20">
        <v>76.400000000000006</v>
      </c>
      <c r="D18" s="20">
        <v>93.3</v>
      </c>
      <c r="E18" s="20">
        <v>103.5</v>
      </c>
      <c r="F18" s="20">
        <v>120.2</v>
      </c>
      <c r="G18" s="20">
        <v>131.1</v>
      </c>
    </row>
    <row r="19" spans="1:7" ht="12" x14ac:dyDescent="0.15">
      <c r="A19" s="14" t="s">
        <v>226</v>
      </c>
      <c r="B19" s="20" t="s">
        <v>48</v>
      </c>
      <c r="C19" s="20" t="s">
        <v>48</v>
      </c>
      <c r="D19" s="20" t="s">
        <v>48</v>
      </c>
      <c r="E19" s="20">
        <v>1</v>
      </c>
      <c r="F19" s="20">
        <v>2.9</v>
      </c>
      <c r="G19" s="20">
        <v>8.3000000000000007</v>
      </c>
    </row>
    <row r="20" spans="1:7" x14ac:dyDescent="0.15">
      <c r="A20" s="13" t="s">
        <v>227</v>
      </c>
      <c r="B20" s="26">
        <v>71.2</v>
      </c>
      <c r="C20" s="26">
        <v>76.400000000000006</v>
      </c>
      <c r="D20" s="26">
        <v>93.3</v>
      </c>
      <c r="E20" s="26">
        <v>104.5</v>
      </c>
      <c r="F20" s="26">
        <v>123.1</v>
      </c>
      <c r="G20" s="26">
        <v>139.4</v>
      </c>
    </row>
    <row r="21" spans="1:7" x14ac:dyDescent="0.15">
      <c r="A21" s="14"/>
      <c r="B21" s="14"/>
      <c r="C21" s="14"/>
      <c r="D21" s="14"/>
      <c r="E21" s="14"/>
      <c r="F21" s="14"/>
      <c r="G21" s="14"/>
    </row>
    <row r="22" spans="1:7" x14ac:dyDescent="0.15">
      <c r="A22" s="14" t="s">
        <v>228</v>
      </c>
      <c r="B22" s="20">
        <v>1.6</v>
      </c>
      <c r="C22" s="20">
        <v>1.1000000000000001</v>
      </c>
      <c r="D22" s="20">
        <v>1.7</v>
      </c>
      <c r="E22" s="20">
        <v>0.7</v>
      </c>
      <c r="F22" s="20">
        <v>1.6</v>
      </c>
      <c r="G22" s="20">
        <v>1.5</v>
      </c>
    </row>
    <row r="23" spans="1:7" ht="12" x14ac:dyDescent="0.15">
      <c r="A23" s="14" t="s">
        <v>229</v>
      </c>
      <c r="B23" s="20" t="s">
        <v>48</v>
      </c>
      <c r="C23" s="20" t="s">
        <v>48</v>
      </c>
      <c r="D23" s="20" t="s">
        <v>48</v>
      </c>
      <c r="E23" s="20" t="s">
        <v>48</v>
      </c>
      <c r="F23" s="20">
        <v>7.7</v>
      </c>
      <c r="G23" s="20">
        <v>7.7</v>
      </c>
    </row>
    <row r="24" spans="1:7" x14ac:dyDescent="0.15">
      <c r="A24" s="14" t="s">
        <v>230</v>
      </c>
      <c r="B24" s="20">
        <v>-1.4</v>
      </c>
      <c r="C24" s="20">
        <v>-2</v>
      </c>
      <c r="D24" s="20">
        <v>-2.5</v>
      </c>
      <c r="E24" s="20">
        <v>-3.3</v>
      </c>
      <c r="F24" s="20">
        <v>-5.6</v>
      </c>
      <c r="G24" s="20">
        <v>-4.2</v>
      </c>
    </row>
    <row r="25" spans="1:7" x14ac:dyDescent="0.15">
      <c r="A25" s="14" t="s">
        <v>231</v>
      </c>
      <c r="B25" s="20">
        <v>17.2</v>
      </c>
      <c r="C25" s="20">
        <v>17.899999999999999</v>
      </c>
      <c r="D25" s="20">
        <v>16.100000000000001</v>
      </c>
      <c r="E25" s="20">
        <v>17.600000000000001</v>
      </c>
      <c r="F25" s="20">
        <v>16.2</v>
      </c>
      <c r="G25" s="20">
        <v>18.100000000000001</v>
      </c>
    </row>
    <row r="26" spans="1:7" ht="12" x14ac:dyDescent="0.15">
      <c r="A26" s="14" t="s">
        <v>232</v>
      </c>
      <c r="B26" s="20">
        <v>-5.8</v>
      </c>
      <c r="C26" s="20">
        <v>-9.1999999999999993</v>
      </c>
      <c r="D26" s="20" t="s">
        <v>48</v>
      </c>
      <c r="E26" s="20" t="s">
        <v>48</v>
      </c>
      <c r="F26" s="20" t="s">
        <v>48</v>
      </c>
      <c r="G26" s="20" t="s">
        <v>48</v>
      </c>
    </row>
    <row r="27" spans="1:7" x14ac:dyDescent="0.15">
      <c r="A27" s="14" t="s">
        <v>233</v>
      </c>
      <c r="B27" s="20">
        <v>39.700000000000003</v>
      </c>
      <c r="C27" s="20">
        <v>53.2</v>
      </c>
      <c r="D27" s="20">
        <v>62.8</v>
      </c>
      <c r="E27" s="20">
        <v>3.8</v>
      </c>
      <c r="F27" s="20">
        <v>29.3</v>
      </c>
      <c r="G27" s="20">
        <v>11.1</v>
      </c>
    </row>
    <row r="28" spans="1:7" x14ac:dyDescent="0.15">
      <c r="A28" s="14" t="s">
        <v>234</v>
      </c>
      <c r="B28" s="20">
        <v>-15.4</v>
      </c>
      <c r="C28" s="20">
        <v>-18.399999999999999</v>
      </c>
      <c r="D28" s="20">
        <v>-17.399999999999999</v>
      </c>
      <c r="E28" s="20">
        <v>20.2</v>
      </c>
      <c r="F28" s="20">
        <v>-20.7</v>
      </c>
      <c r="G28" s="20">
        <v>-22.5</v>
      </c>
    </row>
    <row r="29" spans="1:7" x14ac:dyDescent="0.15">
      <c r="A29" s="14" t="s">
        <v>235</v>
      </c>
      <c r="B29" s="20">
        <v>-38.799999999999997</v>
      </c>
      <c r="C29" s="20">
        <v>-25</v>
      </c>
      <c r="D29" s="20">
        <v>10.8</v>
      </c>
      <c r="E29" s="20">
        <v>2.2999999999999998</v>
      </c>
      <c r="F29" s="20">
        <v>-25.2</v>
      </c>
      <c r="G29" s="20">
        <v>-49.9</v>
      </c>
    </row>
    <row r="30" spans="1:7" x14ac:dyDescent="0.15">
      <c r="A30" s="14" t="s">
        <v>236</v>
      </c>
      <c r="B30" s="20">
        <v>-0.8</v>
      </c>
      <c r="C30" s="20">
        <v>-10.4</v>
      </c>
      <c r="D30" s="20">
        <v>-7.9</v>
      </c>
      <c r="E30" s="20">
        <v>-2.1</v>
      </c>
      <c r="F30" s="20">
        <v>23.3</v>
      </c>
      <c r="G30" s="20">
        <v>38.200000000000003</v>
      </c>
    </row>
    <row r="31" spans="1:7" x14ac:dyDescent="0.15">
      <c r="A31" s="14" t="s">
        <v>237</v>
      </c>
      <c r="B31" s="20">
        <v>41.1</v>
      </c>
      <c r="C31" s="20">
        <v>-19.8</v>
      </c>
      <c r="D31" s="20">
        <v>-5.3</v>
      </c>
      <c r="E31" s="20">
        <v>1</v>
      </c>
      <c r="F31" s="20">
        <v>-4.9000000000000004</v>
      </c>
      <c r="G31" s="20">
        <v>-18.600000000000001</v>
      </c>
    </row>
    <row r="32" spans="1:7" x14ac:dyDescent="0.15">
      <c r="A32" s="13" t="s">
        <v>238</v>
      </c>
      <c r="B32" s="26">
        <v>318</v>
      </c>
      <c r="C32" s="26">
        <v>301</v>
      </c>
      <c r="D32" s="26">
        <v>401.4</v>
      </c>
      <c r="E32" s="26">
        <v>428.7</v>
      </c>
      <c r="F32" s="26">
        <v>421.4</v>
      </c>
      <c r="G32" s="26">
        <v>420.3</v>
      </c>
    </row>
    <row r="33" spans="1:7" x14ac:dyDescent="0.15">
      <c r="A33" s="14"/>
      <c r="B33" s="14"/>
      <c r="C33" s="14"/>
      <c r="D33" s="14"/>
      <c r="E33" s="14"/>
      <c r="F33" s="14"/>
      <c r="G33" s="14"/>
    </row>
    <row r="34" spans="1:7" x14ac:dyDescent="0.15">
      <c r="A34" s="14" t="s">
        <v>239</v>
      </c>
      <c r="B34" s="20">
        <v>-260.10000000000002</v>
      </c>
      <c r="C34" s="20">
        <v>-305.3</v>
      </c>
      <c r="D34" s="20">
        <v>-327.9</v>
      </c>
      <c r="E34" s="20">
        <v>-278.10000000000002</v>
      </c>
      <c r="F34" s="20">
        <v>-184.1</v>
      </c>
      <c r="G34" s="20">
        <v>-196.6</v>
      </c>
    </row>
    <row r="35" spans="1:7" ht="12" x14ac:dyDescent="0.15">
      <c r="A35" s="14" t="s">
        <v>240</v>
      </c>
      <c r="B35" s="20" t="s">
        <v>48</v>
      </c>
      <c r="C35" s="20" t="s">
        <v>48</v>
      </c>
      <c r="D35" s="20">
        <v>-8.6</v>
      </c>
      <c r="E35" s="20">
        <v>-76</v>
      </c>
      <c r="F35" s="20">
        <v>-3.4</v>
      </c>
      <c r="G35" s="20">
        <v>-165.9</v>
      </c>
    </row>
    <row r="36" spans="1:7" ht="12" x14ac:dyDescent="0.15">
      <c r="A36" s="14" t="s">
        <v>241</v>
      </c>
      <c r="B36" s="20" t="s">
        <v>48</v>
      </c>
      <c r="C36" s="20" t="s">
        <v>48</v>
      </c>
      <c r="D36" s="20" t="s">
        <v>48</v>
      </c>
      <c r="E36" s="20" t="s">
        <v>48</v>
      </c>
      <c r="F36" s="20" t="s">
        <v>48</v>
      </c>
      <c r="G36" s="20" t="s">
        <v>48</v>
      </c>
    </row>
    <row r="37" spans="1:7" ht="12" x14ac:dyDescent="0.15">
      <c r="A37" s="14" t="s">
        <v>242</v>
      </c>
      <c r="B37" s="20">
        <v>-10.3</v>
      </c>
      <c r="C37" s="20" t="s">
        <v>48</v>
      </c>
      <c r="D37" s="20">
        <v>-30</v>
      </c>
      <c r="E37" s="20" t="s">
        <v>48</v>
      </c>
      <c r="F37" s="20" t="s">
        <v>48</v>
      </c>
      <c r="G37" s="20" t="s">
        <v>48</v>
      </c>
    </row>
    <row r="38" spans="1:7" ht="12" x14ac:dyDescent="0.15">
      <c r="A38" s="14" t="s">
        <v>243</v>
      </c>
      <c r="B38" s="20" t="s">
        <v>48</v>
      </c>
      <c r="C38" s="20" t="s">
        <v>48</v>
      </c>
      <c r="D38" s="20" t="s">
        <v>48</v>
      </c>
      <c r="E38" s="20" t="s">
        <v>48</v>
      </c>
      <c r="F38" s="20" t="s">
        <v>48</v>
      </c>
      <c r="G38" s="20" t="s">
        <v>48</v>
      </c>
    </row>
    <row r="39" spans="1:7" ht="12" x14ac:dyDescent="0.15">
      <c r="A39" s="14" t="s">
        <v>244</v>
      </c>
      <c r="B39" s="20" t="s">
        <v>48</v>
      </c>
      <c r="C39" s="20" t="s">
        <v>48</v>
      </c>
      <c r="D39" s="20" t="s">
        <v>48</v>
      </c>
      <c r="E39" s="20" t="s">
        <v>48</v>
      </c>
      <c r="F39" s="20" t="s">
        <v>48</v>
      </c>
      <c r="G39" s="20" t="s">
        <v>48</v>
      </c>
    </row>
    <row r="40" spans="1:7" x14ac:dyDescent="0.15">
      <c r="A40" s="13" t="s">
        <v>245</v>
      </c>
      <c r="B40" s="26">
        <v>-270.39999999999998</v>
      </c>
      <c r="C40" s="26">
        <v>-305.3</v>
      </c>
      <c r="D40" s="26">
        <v>-366.5</v>
      </c>
      <c r="E40" s="26">
        <v>-354.1</v>
      </c>
      <c r="F40" s="26">
        <v>-187.5</v>
      </c>
      <c r="G40" s="26">
        <v>-362.5</v>
      </c>
    </row>
    <row r="41" spans="1:7" x14ac:dyDescent="0.15">
      <c r="A41" s="14"/>
      <c r="B41" s="14"/>
      <c r="C41" s="14"/>
      <c r="D41" s="14"/>
      <c r="E41" s="14"/>
      <c r="F41" s="14"/>
      <c r="G41" s="14"/>
    </row>
    <row r="42" spans="1:7" ht="12" x14ac:dyDescent="0.15">
      <c r="A42" s="14" t="s">
        <v>246</v>
      </c>
      <c r="B42" s="20" t="s">
        <v>48</v>
      </c>
      <c r="C42" s="20" t="s">
        <v>48</v>
      </c>
      <c r="D42" s="20" t="s">
        <v>48</v>
      </c>
      <c r="E42" s="20" t="s">
        <v>48</v>
      </c>
      <c r="F42" s="20" t="s">
        <v>48</v>
      </c>
      <c r="G42" s="20" t="s">
        <v>48</v>
      </c>
    </row>
    <row r="43" spans="1:7" ht="12" x14ac:dyDescent="0.15">
      <c r="A43" s="14" t="s">
        <v>247</v>
      </c>
      <c r="B43" s="20">
        <v>670</v>
      </c>
      <c r="C43" s="20">
        <v>300</v>
      </c>
      <c r="D43" s="20">
        <v>590.5</v>
      </c>
      <c r="E43" s="20">
        <v>894.7</v>
      </c>
      <c r="F43" s="20">
        <v>752.2</v>
      </c>
      <c r="G43" s="20" t="s">
        <v>48</v>
      </c>
    </row>
    <row r="44" spans="1:7" x14ac:dyDescent="0.15">
      <c r="A44" s="13" t="s">
        <v>248</v>
      </c>
      <c r="B44" s="26">
        <v>670</v>
      </c>
      <c r="C44" s="26">
        <v>300</v>
      </c>
      <c r="D44" s="26">
        <v>590.5</v>
      </c>
      <c r="E44" s="26">
        <v>894.7</v>
      </c>
      <c r="F44" s="26">
        <v>752.2</v>
      </c>
      <c r="G44" s="26">
        <v>912.9</v>
      </c>
    </row>
    <row r="45" spans="1:7" x14ac:dyDescent="0.15">
      <c r="A45" s="14" t="s">
        <v>249</v>
      </c>
      <c r="B45" s="20">
        <v>0</v>
      </c>
      <c r="C45" s="20">
        <v>0</v>
      </c>
      <c r="D45" s="20">
        <v>0</v>
      </c>
      <c r="E45" s="20">
        <v>0</v>
      </c>
      <c r="F45" s="20">
        <v>0</v>
      </c>
      <c r="G45" s="20">
        <v>0</v>
      </c>
    </row>
    <row r="46" spans="1:7" x14ac:dyDescent="0.15">
      <c r="A46" s="14" t="s">
        <v>250</v>
      </c>
      <c r="B46" s="20">
        <v>-548.70000000000005</v>
      </c>
      <c r="C46" s="20">
        <v>-136.19999999999999</v>
      </c>
      <c r="D46" s="20">
        <v>-485</v>
      </c>
      <c r="E46" s="20">
        <v>-778.6</v>
      </c>
      <c r="F46" s="20">
        <v>-604.4</v>
      </c>
      <c r="G46" s="20">
        <v>0</v>
      </c>
    </row>
    <row r="47" spans="1:7" x14ac:dyDescent="0.15">
      <c r="A47" s="13" t="s">
        <v>251</v>
      </c>
      <c r="B47" s="26">
        <v>-548.70000000000005</v>
      </c>
      <c r="C47" s="26">
        <v>-136.19999999999999</v>
      </c>
      <c r="D47" s="26">
        <v>-485</v>
      </c>
      <c r="E47" s="26">
        <v>-778.6</v>
      </c>
      <c r="F47" s="26">
        <v>-604.4</v>
      </c>
      <c r="G47" s="26">
        <v>-778.8</v>
      </c>
    </row>
    <row r="48" spans="1:7" x14ac:dyDescent="0.15">
      <c r="A48" s="14"/>
      <c r="B48" s="14"/>
      <c r="C48" s="14"/>
      <c r="D48" s="14"/>
      <c r="E48" s="14"/>
      <c r="F48" s="14"/>
      <c r="G48" s="14"/>
    </row>
    <row r="49" spans="1:7" x14ac:dyDescent="0.15">
      <c r="A49" s="14" t="s">
        <v>252</v>
      </c>
      <c r="B49" s="20">
        <v>3.2</v>
      </c>
      <c r="C49" s="20">
        <v>13.3</v>
      </c>
      <c r="D49" s="20">
        <v>0.3</v>
      </c>
      <c r="E49" s="20">
        <v>12.2</v>
      </c>
      <c r="F49" s="20">
        <v>1</v>
      </c>
      <c r="G49" s="20">
        <v>7</v>
      </c>
    </row>
    <row r="50" spans="1:7" x14ac:dyDescent="0.15">
      <c r="A50" s="14" t="s">
        <v>253</v>
      </c>
      <c r="B50" s="20">
        <v>-160</v>
      </c>
      <c r="C50" s="20">
        <v>-146.1</v>
      </c>
      <c r="D50" s="20">
        <v>-111.1</v>
      </c>
      <c r="E50" s="20">
        <v>-150.30000000000001</v>
      </c>
      <c r="F50" s="20">
        <v>-357.7</v>
      </c>
      <c r="G50" s="20">
        <v>-141.80000000000001</v>
      </c>
    </row>
    <row r="51" spans="1:7" x14ac:dyDescent="0.15">
      <c r="A51" s="14"/>
      <c r="B51" s="14"/>
      <c r="C51" s="14"/>
      <c r="D51" s="14"/>
      <c r="E51" s="14"/>
      <c r="F51" s="14"/>
      <c r="G51" s="14"/>
    </row>
    <row r="52" spans="1:7" ht="12" x14ac:dyDescent="0.15">
      <c r="A52" s="14" t="s">
        <v>254</v>
      </c>
      <c r="B52" s="20" t="s">
        <v>48</v>
      </c>
      <c r="C52" s="20">
        <v>-38.299999999999997</v>
      </c>
      <c r="D52" s="20">
        <v>-39.799999999999997</v>
      </c>
      <c r="E52" s="20">
        <v>-42.6</v>
      </c>
      <c r="F52" s="20">
        <v>-48.4</v>
      </c>
      <c r="G52" s="20">
        <v>-52.8</v>
      </c>
    </row>
    <row r="53" spans="1:7" ht="12" x14ac:dyDescent="0.15">
      <c r="A53" s="13" t="s">
        <v>255</v>
      </c>
      <c r="B53" s="26" t="s">
        <v>48</v>
      </c>
      <c r="C53" s="26">
        <v>-38.299999999999997</v>
      </c>
      <c r="D53" s="26">
        <v>-39.799999999999997</v>
      </c>
      <c r="E53" s="26">
        <v>-42.6</v>
      </c>
      <c r="F53" s="26">
        <v>-48.4</v>
      </c>
      <c r="G53" s="26">
        <v>-52.8</v>
      </c>
    </row>
    <row r="54" spans="1:7" x14ac:dyDescent="0.15">
      <c r="A54" s="14"/>
      <c r="B54" s="14"/>
      <c r="C54" s="14"/>
      <c r="D54" s="14"/>
      <c r="E54" s="14"/>
      <c r="F54" s="14"/>
      <c r="G54" s="14"/>
    </row>
    <row r="55" spans="1:7" ht="12" x14ac:dyDescent="0.15">
      <c r="A55" s="14" t="s">
        <v>256</v>
      </c>
      <c r="B55" s="20" t="s">
        <v>48</v>
      </c>
      <c r="C55" s="20" t="s">
        <v>48</v>
      </c>
      <c r="D55" s="20" t="s">
        <v>48</v>
      </c>
      <c r="E55" s="20" t="s">
        <v>48</v>
      </c>
      <c r="F55" s="20" t="s">
        <v>48</v>
      </c>
      <c r="G55" s="20" t="s">
        <v>48</v>
      </c>
    </row>
    <row r="56" spans="1:7" ht="12" x14ac:dyDescent="0.15">
      <c r="A56" s="14" t="s">
        <v>257</v>
      </c>
      <c r="B56" s="20">
        <v>-1.4</v>
      </c>
      <c r="C56" s="20">
        <v>-3.6</v>
      </c>
      <c r="D56" s="20">
        <v>-1.7</v>
      </c>
      <c r="E56" s="20">
        <v>6.3</v>
      </c>
      <c r="F56" s="20" t="s">
        <v>48</v>
      </c>
      <c r="G56" s="20">
        <v>-2.2000000000000002</v>
      </c>
    </row>
    <row r="57" spans="1:7" x14ac:dyDescent="0.15">
      <c r="A57" s="13" t="s">
        <v>258</v>
      </c>
      <c r="B57" s="26">
        <v>-36.9</v>
      </c>
      <c r="C57" s="26">
        <v>-10.9</v>
      </c>
      <c r="D57" s="26">
        <v>-46.8</v>
      </c>
      <c r="E57" s="26">
        <v>-58.3</v>
      </c>
      <c r="F57" s="26">
        <v>-257.3</v>
      </c>
      <c r="G57" s="26">
        <v>-55.7</v>
      </c>
    </row>
    <row r="58" spans="1:7" x14ac:dyDescent="0.15">
      <c r="A58" s="14"/>
      <c r="B58" s="14"/>
      <c r="C58" s="14"/>
      <c r="D58" s="14"/>
      <c r="E58" s="14"/>
      <c r="F58" s="14"/>
      <c r="G58" s="14"/>
    </row>
    <row r="59" spans="1:7" x14ac:dyDescent="0.15">
      <c r="A59" s="14" t="s">
        <v>259</v>
      </c>
      <c r="B59" s="20">
        <v>-5.3</v>
      </c>
      <c r="C59" s="20">
        <v>-3.9</v>
      </c>
      <c r="D59" s="20">
        <v>-4.7</v>
      </c>
      <c r="E59" s="20">
        <v>8.6</v>
      </c>
      <c r="F59" s="20">
        <v>-4</v>
      </c>
      <c r="G59" s="20">
        <v>-2.2999999999999998</v>
      </c>
    </row>
    <row r="60" spans="1:7" x14ac:dyDescent="0.15">
      <c r="A60" s="13" t="s">
        <v>260</v>
      </c>
      <c r="B60" s="27">
        <v>5.4</v>
      </c>
      <c r="C60" s="27">
        <v>-19.100000000000001</v>
      </c>
      <c r="D60" s="27">
        <v>-16.600000000000001</v>
      </c>
      <c r="E60" s="27">
        <v>24.9</v>
      </c>
      <c r="F60" s="27">
        <v>-27.4</v>
      </c>
      <c r="G60" s="27">
        <v>-0.2</v>
      </c>
    </row>
    <row r="61" spans="1:7" x14ac:dyDescent="0.15">
      <c r="A61" s="14"/>
      <c r="B61" s="14"/>
      <c r="C61" s="14"/>
      <c r="D61" s="14"/>
      <c r="E61" s="14"/>
      <c r="F61" s="14"/>
      <c r="G61" s="14"/>
    </row>
    <row r="62" spans="1:7" x14ac:dyDescent="0.15">
      <c r="A62" s="13" t="s">
        <v>127</v>
      </c>
      <c r="B62" s="14"/>
      <c r="C62" s="14"/>
      <c r="D62" s="14"/>
      <c r="E62" s="14"/>
      <c r="F62" s="14"/>
      <c r="G62" s="14"/>
    </row>
    <row r="63" spans="1:7" x14ac:dyDescent="0.15">
      <c r="A63" s="14" t="s">
        <v>261</v>
      </c>
      <c r="B63" s="20">
        <v>8.1</v>
      </c>
      <c r="C63" s="20">
        <v>9.8000000000000007</v>
      </c>
      <c r="D63" s="20">
        <v>23.2</v>
      </c>
      <c r="E63" s="20">
        <v>22.6</v>
      </c>
      <c r="F63" s="20">
        <v>37.200000000000003</v>
      </c>
      <c r="G63" s="20">
        <v>37.200000000000003</v>
      </c>
    </row>
    <row r="64" spans="1:7" x14ac:dyDescent="0.15">
      <c r="A64" s="14" t="s">
        <v>262</v>
      </c>
      <c r="B64" s="20">
        <v>27.5</v>
      </c>
      <c r="C64" s="20">
        <v>40.799999999999997</v>
      </c>
      <c r="D64" s="20">
        <v>31.7</v>
      </c>
      <c r="E64" s="20">
        <v>22.4</v>
      </c>
      <c r="F64" s="20">
        <v>36.5</v>
      </c>
      <c r="G64" s="20">
        <v>36.5</v>
      </c>
    </row>
    <row r="65" spans="1:7" x14ac:dyDescent="0.15">
      <c r="A65" s="14" t="s">
        <v>263</v>
      </c>
      <c r="B65" s="20">
        <v>43.475000000000001</v>
      </c>
      <c r="C65" s="20">
        <v>1.075</v>
      </c>
      <c r="D65" s="20">
        <v>-20.399999999999999</v>
      </c>
      <c r="E65" s="20">
        <v>12.1</v>
      </c>
      <c r="F65" s="20">
        <v>178.48750000000001</v>
      </c>
      <c r="G65" s="20">
        <v>189.88749999999999</v>
      </c>
    </row>
    <row r="66" spans="1:7" x14ac:dyDescent="0.15">
      <c r="A66" s="14" t="s">
        <v>264</v>
      </c>
      <c r="B66" s="20">
        <v>46.875</v>
      </c>
      <c r="C66" s="20">
        <v>8.85</v>
      </c>
      <c r="D66" s="20">
        <v>-8.1999999999999993</v>
      </c>
      <c r="E66" s="20">
        <v>28.524999999999999</v>
      </c>
      <c r="F66" s="20">
        <v>200.45</v>
      </c>
      <c r="G66" s="20">
        <v>216.7</v>
      </c>
    </row>
    <row r="67" spans="1:7" x14ac:dyDescent="0.15">
      <c r="A67" s="14" t="s">
        <v>265</v>
      </c>
      <c r="B67" s="20">
        <v>-23.7</v>
      </c>
      <c r="C67" s="20">
        <v>-12.1</v>
      </c>
      <c r="D67" s="20">
        <v>14.8</v>
      </c>
      <c r="E67" s="20">
        <v>34.6</v>
      </c>
      <c r="F67" s="20">
        <v>-13</v>
      </c>
      <c r="G67" s="20">
        <v>9.1999999999999993</v>
      </c>
    </row>
    <row r="68" spans="1:7" x14ac:dyDescent="0.15">
      <c r="A68" s="14" t="s">
        <v>266</v>
      </c>
      <c r="B68" s="20">
        <v>121.3</v>
      </c>
      <c r="C68" s="20">
        <v>163.80000000000001</v>
      </c>
      <c r="D68" s="20">
        <v>105.5</v>
      </c>
      <c r="E68" s="20">
        <v>116.1</v>
      </c>
      <c r="F68" s="20">
        <v>147.80000000000001</v>
      </c>
      <c r="G68" s="20">
        <v>134.1</v>
      </c>
    </row>
    <row r="69" spans="1:7" x14ac:dyDescent="0.15">
      <c r="A69" s="14" t="s">
        <v>140</v>
      </c>
      <c r="B69" s="30">
        <v>42775</v>
      </c>
      <c r="C69" s="30">
        <v>43138</v>
      </c>
      <c r="D69" s="30">
        <v>43502</v>
      </c>
      <c r="E69" s="30">
        <v>43502</v>
      </c>
      <c r="F69" s="30">
        <v>43502</v>
      </c>
      <c r="G69" s="30">
        <v>43759</v>
      </c>
    </row>
    <row r="70" spans="1:7" ht="12" x14ac:dyDescent="0.15">
      <c r="A70" s="14" t="s">
        <v>141</v>
      </c>
      <c r="B70" s="19" t="s">
        <v>142</v>
      </c>
      <c r="C70" s="19" t="s">
        <v>142</v>
      </c>
      <c r="D70" s="19" t="s">
        <v>142</v>
      </c>
      <c r="E70" s="19" t="s">
        <v>142</v>
      </c>
      <c r="F70" s="19" t="s">
        <v>143</v>
      </c>
      <c r="G70" s="19" t="s">
        <v>143</v>
      </c>
    </row>
    <row r="71" spans="1:7" ht="12" x14ac:dyDescent="0.15">
      <c r="A71" s="14" t="s">
        <v>144</v>
      </c>
      <c r="B71" s="19" t="s">
        <v>145</v>
      </c>
      <c r="C71" s="19" t="s">
        <v>145</v>
      </c>
      <c r="D71" s="19" t="s">
        <v>145</v>
      </c>
      <c r="E71" s="19" t="s">
        <v>145</v>
      </c>
      <c r="F71" s="19" t="s">
        <v>145</v>
      </c>
      <c r="G71" s="19" t="s">
        <v>146</v>
      </c>
    </row>
    <row r="72" spans="1:7" x14ac:dyDescent="0.15">
      <c r="A72" s="14"/>
      <c r="B72" s="14"/>
      <c r="C72" s="14"/>
      <c r="D72" s="14"/>
      <c r="E72" s="14"/>
      <c r="F72" s="14"/>
      <c r="G72" s="14"/>
    </row>
    <row r="73" spans="1:7" ht="72" x14ac:dyDescent="0.15">
      <c r="A73" s="36" t="s">
        <v>66</v>
      </c>
      <c r="B73" s="21"/>
      <c r="C73" s="21"/>
      <c r="D73" s="21"/>
      <c r="E73" s="21"/>
      <c r="F73" s="21"/>
      <c r="G73" s="21"/>
    </row>
  </sheetData>
  <pageMargins left="0.2" right="0.2" top="0.5" bottom="0.5" header="0.5" footer="0.5"/>
  <pageSetup fitToWidth="0" fitToHeight="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8507-4FF5-456D-A638-9AA9CFEA7816}">
  <sheetPr>
    <tabColor theme="5"/>
  </sheetPr>
  <dimension ref="B5:R16"/>
  <sheetViews>
    <sheetView showGridLines="0" zoomScale="130" zoomScaleNormal="130" workbookViewId="0">
      <selection activeCell="O9" sqref="O9"/>
    </sheetView>
  </sheetViews>
  <sheetFormatPr baseColWidth="10" defaultColWidth="8.75" defaultRowHeight="12" x14ac:dyDescent="0.15"/>
  <cols>
    <col min="2" max="2" width="15.5" bestFit="1" customWidth="1"/>
    <col min="4" max="4" width="10.5" bestFit="1" customWidth="1"/>
    <col min="5" max="6" width="14.5" bestFit="1" customWidth="1"/>
    <col min="8" max="8" width="13.75" customWidth="1"/>
    <col min="9" max="12" width="13.25" style="45" customWidth="1"/>
    <col min="13" max="13" width="14.5" style="45" customWidth="1"/>
    <col min="14" max="18" width="13.25" style="45" customWidth="1"/>
  </cols>
  <sheetData>
    <row r="5" spans="2:18" ht="9.75" customHeight="1" x14ac:dyDescent="0.15"/>
    <row r="6" spans="2:18" hidden="1" x14ac:dyDescent="0.15"/>
    <row r="7" spans="2:18" ht="49.5" customHeight="1" x14ac:dyDescent="0.15">
      <c r="B7" s="57" t="s">
        <v>267</v>
      </c>
      <c r="C7" s="58"/>
      <c r="D7" s="57" t="s">
        <v>272</v>
      </c>
      <c r="E7" s="57" t="s">
        <v>273</v>
      </c>
      <c r="F7" s="57" t="s">
        <v>61</v>
      </c>
      <c r="G7" s="58"/>
      <c r="H7" s="59" t="s">
        <v>274</v>
      </c>
      <c r="I7" s="59" t="s">
        <v>275</v>
      </c>
      <c r="J7" s="59" t="s">
        <v>276</v>
      </c>
      <c r="K7" s="59" t="s">
        <v>277</v>
      </c>
      <c r="L7" s="59" t="s">
        <v>278</v>
      </c>
      <c r="M7" s="59" t="s">
        <v>279</v>
      </c>
      <c r="N7" s="59" t="s">
        <v>280</v>
      </c>
      <c r="O7" s="59" t="s">
        <v>281</v>
      </c>
      <c r="P7" s="59" t="s">
        <v>282</v>
      </c>
      <c r="Q7" s="59" t="s">
        <v>283</v>
      </c>
      <c r="R7" s="59" t="s">
        <v>284</v>
      </c>
    </row>
    <row r="8" spans="2:18" ht="3" customHeight="1" x14ac:dyDescent="0.15">
      <c r="B8" s="46"/>
      <c r="C8" s="47"/>
      <c r="D8" s="46"/>
      <c r="E8" s="46"/>
      <c r="F8" s="46"/>
      <c r="G8" s="47"/>
      <c r="H8" s="48"/>
      <c r="I8" s="48"/>
      <c r="J8" s="48"/>
      <c r="K8" s="48"/>
      <c r="L8" s="48"/>
      <c r="M8" s="48"/>
      <c r="N8" s="48"/>
      <c r="O8" s="48"/>
      <c r="P8" s="48"/>
      <c r="Q8" s="48"/>
      <c r="R8" s="48"/>
    </row>
    <row r="9" spans="2:18" x14ac:dyDescent="0.15">
      <c r="B9" t="s">
        <v>268</v>
      </c>
      <c r="D9" s="39">
        <v>6015.5</v>
      </c>
      <c r="E9" s="39">
        <v>973.7</v>
      </c>
      <c r="F9" s="38">
        <f>D9/E9</f>
        <v>6.1779808976070658</v>
      </c>
      <c r="H9" s="44">
        <v>0.30199999999999999</v>
      </c>
      <c r="I9" s="40">
        <v>0.121</v>
      </c>
      <c r="J9" s="40">
        <v>6.5000000000000002E-2</v>
      </c>
      <c r="K9" s="41">
        <v>3.5700000000000003E-2</v>
      </c>
      <c r="L9" s="41">
        <v>1.78E-2</v>
      </c>
      <c r="M9" s="41">
        <v>-7.1300000000000002E-2</v>
      </c>
      <c r="N9" s="41">
        <v>-0.15959999999999999</v>
      </c>
      <c r="O9" s="41">
        <v>-0.37169999999999997</v>
      </c>
      <c r="P9" s="41">
        <v>0.48580000000000001</v>
      </c>
      <c r="Q9" s="42">
        <v>3.7</v>
      </c>
      <c r="R9" s="43">
        <v>1.17</v>
      </c>
    </row>
    <row r="10" spans="2:18" x14ac:dyDescent="0.15">
      <c r="B10" t="s">
        <v>269</v>
      </c>
      <c r="D10" s="39">
        <v>16258.9</v>
      </c>
      <c r="E10" s="39">
        <v>2298</v>
      </c>
      <c r="F10" s="38">
        <f>D10/E10</f>
        <v>7.0752393385552654</v>
      </c>
      <c r="H10" s="44">
        <v>0.26400000000000001</v>
      </c>
      <c r="I10" s="40">
        <v>0.182</v>
      </c>
      <c r="J10" s="40">
        <v>0.104</v>
      </c>
      <c r="K10" s="41">
        <v>3.0200000000000001E-2</v>
      </c>
      <c r="L10" s="41">
        <v>1.43E-2</v>
      </c>
      <c r="M10" s="41">
        <v>4.1799999999999997E-2</v>
      </c>
      <c r="N10" s="41">
        <v>-2.5499999999999998E-2</v>
      </c>
      <c r="O10" s="41">
        <v>-0.61629999999999996</v>
      </c>
      <c r="P10" s="41">
        <v>0.32169999999999999</v>
      </c>
      <c r="Q10" s="42">
        <v>2.2999999999999998</v>
      </c>
      <c r="R10" s="43">
        <v>1.47</v>
      </c>
    </row>
    <row r="11" spans="2:18" x14ac:dyDescent="0.15">
      <c r="B11" s="49" t="s">
        <v>270</v>
      </c>
      <c r="C11" s="49"/>
      <c r="D11" s="50">
        <v>18820.2</v>
      </c>
      <c r="E11" s="50">
        <v>2311.5</v>
      </c>
      <c r="F11" s="51">
        <f>D11/E11</f>
        <v>8.1419857235561324</v>
      </c>
      <c r="G11" s="49"/>
      <c r="H11" s="52">
        <v>0.191</v>
      </c>
      <c r="I11" s="53">
        <v>0.109</v>
      </c>
      <c r="J11" s="53">
        <v>5.8000000000000003E-2</v>
      </c>
      <c r="K11" s="54">
        <v>3.3000000000000002E-2</v>
      </c>
      <c r="L11" s="54">
        <v>-1.1900000000000001E-2</v>
      </c>
      <c r="M11" s="54">
        <v>-4.2099999999999999E-2</v>
      </c>
      <c r="N11" s="54">
        <v>-0.13239999999999999</v>
      </c>
      <c r="O11" s="54">
        <v>-0.2102</v>
      </c>
      <c r="P11" s="54">
        <v>0.435</v>
      </c>
      <c r="Q11" s="55">
        <v>3.6</v>
      </c>
      <c r="R11" s="56">
        <v>0.66</v>
      </c>
    </row>
    <row r="12" spans="2:18" x14ac:dyDescent="0.15">
      <c r="F12" s="38"/>
    </row>
    <row r="13" spans="2:18" x14ac:dyDescent="0.15">
      <c r="B13" s="37" t="s">
        <v>271</v>
      </c>
      <c r="C13" s="37"/>
      <c r="D13" s="37">
        <v>7358.6</v>
      </c>
      <c r="E13" s="37">
        <v>563.4</v>
      </c>
      <c r="F13" s="60">
        <f>D13/E13</f>
        <v>13.061057862974797</v>
      </c>
      <c r="G13" s="37"/>
      <c r="H13" s="61">
        <v>0.27400000000000002</v>
      </c>
      <c r="I13" s="62">
        <v>0.24</v>
      </c>
      <c r="J13" s="62">
        <v>0.18</v>
      </c>
      <c r="K13" s="63">
        <v>0.1273</v>
      </c>
      <c r="L13" s="63">
        <v>9.9400000000000002E-2</v>
      </c>
      <c r="M13" s="63">
        <v>0.1555</v>
      </c>
      <c r="N13" s="63">
        <v>0.15029999999999999</v>
      </c>
      <c r="O13" s="63">
        <v>3.0000000000000001E-3</v>
      </c>
      <c r="P13" s="63">
        <v>0.45669999999999999</v>
      </c>
      <c r="Q13" s="64">
        <v>2.1</v>
      </c>
      <c r="R13" s="65">
        <v>1</v>
      </c>
    </row>
    <row r="14" spans="2:18" x14ac:dyDescent="0.15">
      <c r="F14" s="38"/>
    </row>
    <row r="16" spans="2:18" x14ac:dyDescent="0.15">
      <c r="B16" s="66" t="s">
        <v>285</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6B21D-2174-4475-B05A-CAE189F3897E}">
  <dimension ref="A1"/>
  <sheetViews>
    <sheetView workbookViewId="0"/>
  </sheetViews>
  <sheetFormatPr baseColWidth="10" defaultColWidth="8.75" defaultRowHeight="12"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Strawman</vt:lpstr>
      <vt:lpstr>Segment Financials</vt:lpstr>
      <vt:lpstr>Financials &gt;&gt;</vt:lpstr>
      <vt:lpstr>Key Stats</vt:lpstr>
      <vt:lpstr>Income Statement</vt:lpstr>
      <vt:lpstr>Balance Sheet</vt:lpstr>
      <vt:lpstr>Cash Flow</vt:lpstr>
      <vt:lpstr>COMP</vt:lpstr>
      <vt:lpstr>Toray Financials &gt;&gt;</vt:lpstr>
      <vt:lpstr>Key Stats (2)</vt:lpstr>
      <vt:lpstr>Income Statement (2)</vt:lpstr>
      <vt:lpstr>Balance Sheet (2)</vt:lpstr>
      <vt:lpstr>Cash Flow (2)</vt:lpstr>
      <vt:lpstr>CIRC</vt:lpstr>
      <vt:lpstr>Strawman!Print_Area</vt:lpstr>
      <vt:lpstr>'Balance Sheet'!Print_Titles</vt:lpstr>
      <vt:lpstr>'Balance Sheet (2)'!Print_Titles</vt:lpstr>
      <vt:lpstr>'Cash Flow'!Print_Titles</vt:lpstr>
      <vt:lpstr>'Cash Flow (2)'!Print_Titles</vt:lpstr>
      <vt:lpstr>'Income Statement'!Print_Titles</vt:lpstr>
      <vt:lpstr>'Income Statement (2)'!Print_Titles</vt:lpstr>
      <vt:lpstr>'Key Stats'!Print_Titles</vt:lpstr>
      <vt:lpstr>'Key Stats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Xipu Li</dc:creator>
  <cp:lastModifiedBy>Microsoft Office User</cp:lastModifiedBy>
  <cp:lastPrinted>2019-12-30T20:28:51Z</cp:lastPrinted>
  <dcterms:created xsi:type="dcterms:W3CDTF">2019-12-27T16:18:17Z</dcterms:created>
  <dcterms:modified xsi:type="dcterms:W3CDTF">2020-01-01T03:25:46Z</dcterms:modified>
</cp:coreProperties>
</file>